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6150" activeTab="0"/>
  </bookViews>
  <sheets>
    <sheet name="fiscalnote" sheetId="1" r:id="rId1"/>
    <sheet name="costs" sheetId="2" r:id="rId2"/>
    <sheet name="HrsByYrAndCoachType" sheetId="3" r:id="rId3"/>
    <sheet name="YearlyPartnershipHrs" sheetId="4" r:id="rId4"/>
    <sheet name="Rt200RevEst" sheetId="5" r:id="rId5"/>
  </sheets>
  <externalReferences>
    <externalReference r:id="rId8"/>
  </externalReferences>
  <definedNames>
    <definedName name="FIVE">#REF!</definedName>
    <definedName name="FOUR">#REF!</definedName>
    <definedName name="ONE">#REF!</definedName>
    <definedName name="_xlnm.Print_Area" localSheetId="0">'fiscalnote'!$A$1:$F$48</definedName>
    <definedName name="SUM">#REF!</definedName>
  </definedNames>
  <calcPr fullCalcOnLoad="1"/>
</workbook>
</file>

<file path=xl/sharedStrings.xml><?xml version="1.0" encoding="utf-8"?>
<sst xmlns="http://schemas.openxmlformats.org/spreadsheetml/2006/main" count="93" uniqueCount="73">
  <si>
    <t>Artic Diesel</t>
  </si>
  <si>
    <t>FISCAL NOTE</t>
  </si>
  <si>
    <t>Affected Agencies:  Transit</t>
  </si>
  <si>
    <t xml:space="preserve">Note Reviewed By:  </t>
  </si>
  <si>
    <t xml:space="preserve">  Impact of the above legislation on the fiscal affairs of King County is estimated to be:</t>
  </si>
  <si>
    <t>Revenue to:</t>
  </si>
  <si>
    <t>Fund Title</t>
  </si>
  <si>
    <t>Fund Code</t>
  </si>
  <si>
    <t>Revenue  Source</t>
  </si>
  <si>
    <t>Public Transportation</t>
  </si>
  <si>
    <t>Fare Rev</t>
  </si>
  <si>
    <t>TOTAL</t>
  </si>
  <si>
    <t>Expenditures from:</t>
  </si>
  <si>
    <t>Department</t>
  </si>
  <si>
    <t>Transit</t>
  </si>
  <si>
    <t>Expenditures by Categories:</t>
  </si>
  <si>
    <t>Salaries &amp; Benefits</t>
  </si>
  <si>
    <t>Supplies and Services</t>
  </si>
  <si>
    <t>Capital Outlay</t>
  </si>
  <si>
    <t>Other</t>
  </si>
  <si>
    <t>Assumptions:</t>
  </si>
  <si>
    <t>Net Hours</t>
  </si>
  <si>
    <t>Salaries and benefits in each year's marginal cost are as follows, by fleet type:</t>
  </si>
  <si>
    <t>Hybrid</t>
  </si>
  <si>
    <t>DART</t>
  </si>
  <si>
    <t>Route</t>
  </si>
  <si>
    <t>Summary</t>
  </si>
  <si>
    <t>Marginal</t>
  </si>
  <si>
    <t>AllKC</t>
  </si>
  <si>
    <t>FullDiesel</t>
  </si>
  <si>
    <t>60'Diesel</t>
  </si>
  <si>
    <t>Trolley</t>
  </si>
  <si>
    <t>Van</t>
  </si>
  <si>
    <t>30'</t>
  </si>
  <si>
    <t>40'Diesel</t>
  </si>
  <si>
    <t>ArticDiesel</t>
  </si>
  <si>
    <t>40'Trolley</t>
  </si>
  <si>
    <t>60'Trolley</t>
  </si>
  <si>
    <t>New fare paying ridership is estimated at 22 riders per added service hour, with an average fare of $0.888 per ride.</t>
  </si>
  <si>
    <t>Fully Allocated</t>
  </si>
  <si>
    <t>Partnerships</t>
  </si>
  <si>
    <t>Ordinance/Motion No.:  2010-XXXX</t>
  </si>
  <si>
    <t>Note Prepared By:  Mike Wold</t>
  </si>
  <si>
    <t>The 2010 marginal cost is based on the adopted 2010 budget.   Cost growth in 2011 and 2012 is assumed to be 5.1% and 6.56%, respectively, consistent with detailed costing done for Sound Transit billing.</t>
  </si>
  <si>
    <t>DayCode</t>
  </si>
  <si>
    <t>CoachType</t>
  </si>
  <si>
    <t>Fall10Hrs</t>
  </si>
  <si>
    <t>Spr11Hrs</t>
  </si>
  <si>
    <t>A</t>
  </si>
  <si>
    <t>RR</t>
  </si>
  <si>
    <t>2010Hrs</t>
  </si>
  <si>
    <t>2011Hrs</t>
  </si>
  <si>
    <t>2012Hrs</t>
  </si>
  <si>
    <t>RapidRide</t>
  </si>
  <si>
    <t>Hours changes in 2010, 2011, and 2012 are based on daily hours, operated for 64 weekdays,  12 Saturdays, and 15 Sunday/Holidays in 2010, 255 weekdays (230 starting with Feb11 service change),  52 Saturdays (48 starting with Feb11 service change), and 58 Sunday/holidays (52 starting with Feb11 service change) in 2011, and 255 weekdays, 52 Saturdays, and 59 Sunday/holidays in 2012.</t>
  </si>
  <si>
    <t>Rt</t>
  </si>
  <si>
    <t>Title:  2010 October and 2011 February Service Changes</t>
  </si>
  <si>
    <t>Transit Van</t>
  </si>
  <si>
    <t>2-Factor Fully Alloc</t>
  </si>
  <si>
    <t>Per Hour</t>
  </si>
  <si>
    <t>Per Mile</t>
  </si>
  <si>
    <t>Route 200 Partnership Revenue Estimate, Annualized</t>
  </si>
  <si>
    <t>Miles</t>
  </si>
  <si>
    <t>Cost Per Mile</t>
  </si>
  <si>
    <t>Miles Cost</t>
  </si>
  <si>
    <t>Hours</t>
  </si>
  <si>
    <t>Cost Per Hour</t>
  </si>
  <si>
    <t>Hours Cost</t>
  </si>
  <si>
    <t>Total Cost</t>
  </si>
  <si>
    <t>Partner Share</t>
  </si>
  <si>
    <t>Partner Cost</t>
  </si>
  <si>
    <t>Year</t>
  </si>
  <si>
    <t>All 2010 and 2011 expenditures are included in the 2010-2011 Adopted Biennial Budget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</si>
</sst>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_)"/>
    <numFmt numFmtId="175" formatCode="0.0%"/>
    <numFmt numFmtId="176" formatCode="_-* #,##0.0_-;\-* #,##0.0_-;_-* &quot;-&quot;??_-;_-@_-"/>
    <numFmt numFmtId="177" formatCode="_-* #,##0_-;\-* #,##0_-;_-* &quot;-&quot;??_-;_-@_-"/>
    <numFmt numFmtId="178" formatCode="0.000"/>
    <numFmt numFmtId="179" formatCode="0.0"/>
    <numFmt numFmtId="180" formatCode="mm/dd/yy_)"/>
    <numFmt numFmtId="181" formatCode="General_)"/>
    <numFmt numFmtId="182" formatCode="_(&quot;$&quot;* #,##0.000_);_(&quot;$&quot;* \(#,##0.000\);_(&quot;$&quot;* &quot;-&quot;??_);_(@_)"/>
    <numFmt numFmtId="183" formatCode="_(&quot;$&quot;* #,##0.0000_);_(&quot;$&quot;* \(#,##0.0000\);_(&quot;$&quot;* &quot;-&quot;??_);_(@_)"/>
    <numFmt numFmtId="184" formatCode="_(&quot;$&quot;* #,##0.00000_);_(&quot;$&quot;* \(#,##0.00000\);_(&quot;$&quot;* &quot;-&quot;??_);_(@_)"/>
    <numFmt numFmtId="185" formatCode="_(&quot;$&quot;* #,##0.000000_);_(&quot;$&quot;* \(#,##0.000000\);_(&quot;$&quot;* &quot;-&quot;??_);_(@_)"/>
    <numFmt numFmtId="186" formatCode="_(&quot;$&quot;* #,##0.0000000_);_(&quot;$&quot;* \(#,##0.0000000\);_(&quot;$&quot;* &quot;-&quot;??_);_(@_)"/>
    <numFmt numFmtId="187" formatCode="_(&quot;$&quot;* #,##0.0_);_(&quot;$&quot;* \(#,##0.0\);_(&quot;$&quot;* &quot;-&quot;??_);_(@_)"/>
    <numFmt numFmtId="188" formatCode="_(&quot;$&quot;* #,##0_);_(&quot;$&quot;* \(#,##0\);_(&quot;$&quot;* &quot;-&quot;??_);_(@_)"/>
    <numFmt numFmtId="189" formatCode="0.000%"/>
    <numFmt numFmtId="190" formatCode="0000"/>
    <numFmt numFmtId="191" formatCode="&quot;$&quot;#,##0"/>
    <numFmt numFmtId="192" formatCode="&quot;$&quot;#,##0.00"/>
    <numFmt numFmtId="193" formatCode="0.0000"/>
    <numFmt numFmtId="194" formatCode="&quot;$&quot;#,##0.000"/>
    <numFmt numFmtId="195" formatCode="0.0_);\(0.0\)"/>
    <numFmt numFmtId="196" formatCode="&quot;$&quot;#,##0.0000"/>
    <numFmt numFmtId="197" formatCode="#,##0.0_);[Red]\(#,##0.0\)"/>
    <numFmt numFmtId="198" formatCode="#,##0.000_);[Red]\(#,##0.000\)"/>
    <numFmt numFmtId="199" formatCode="#,##0.0000_);[Red]\(#,##0.0000\)"/>
    <numFmt numFmtId="200" formatCode="_(&quot;$&quot;* #,##0.000_);_(&quot;$&quot;* \(#,##0.000\);_(&quot;$&quot;* &quot;-&quot;???_);_(@_)"/>
    <numFmt numFmtId="201" formatCode="_(* #,##0.000_);_(* \(#,##0.000\);_(* &quot;-&quot;??_);_(@_)"/>
  </numFmts>
  <fonts count="16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.5"/>
      <name val="Arial"/>
      <family val="2"/>
    </font>
    <font>
      <b/>
      <sz val="12"/>
      <name val="Arial"/>
      <family val="2"/>
    </font>
    <font>
      <b/>
      <sz val="10.5"/>
      <name val="Arial"/>
      <family val="2"/>
    </font>
    <font>
      <sz val="10.5"/>
      <name val="Univers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7"/>
      <name val="Small Fonts"/>
      <family val="2"/>
    </font>
    <font>
      <b/>
      <sz val="10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9"/>
      <color indexed="10"/>
      <name val="Arial Narrow"/>
      <family val="2"/>
    </font>
    <font>
      <sz val="9"/>
      <color indexed="1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21" applyFont="1" applyAlignment="1">
      <alignment/>
      <protection/>
    </xf>
    <xf numFmtId="0" fontId="4" fillId="0" borderId="0" xfId="21" applyFont="1" applyAlignment="1">
      <alignment/>
      <protection/>
    </xf>
    <xf numFmtId="0" fontId="5" fillId="0" borderId="0" xfId="21" applyFont="1" applyAlignment="1">
      <alignment horizontal="centerContinuous"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1" fillId="0" borderId="0" xfId="21" applyFont="1" applyAlignment="1">
      <alignment horizontal="left"/>
      <protection/>
    </xf>
    <xf numFmtId="0" fontId="4" fillId="0" borderId="0" xfId="21" applyFont="1" applyAlignment="1">
      <alignment horizontal="centerContinuous"/>
      <protection/>
    </xf>
    <xf numFmtId="0" fontId="0" fillId="0" borderId="0" xfId="21" applyAlignment="1">
      <alignment horizontal="centerContinuous"/>
      <protection/>
    </xf>
    <xf numFmtId="0" fontId="4" fillId="0" borderId="1" xfId="21" applyFont="1" applyBorder="1" applyAlignment="1">
      <alignment horizontal="centerContinuous"/>
      <protection/>
    </xf>
    <xf numFmtId="0" fontId="4" fillId="0" borderId="2" xfId="21" applyFont="1" applyBorder="1" applyAlignment="1">
      <alignment horizontal="centerContinuous"/>
      <protection/>
    </xf>
    <xf numFmtId="0" fontId="4" fillId="0" borderId="3" xfId="21" applyFont="1" applyBorder="1">
      <alignment/>
      <protection/>
    </xf>
    <xf numFmtId="0" fontId="4" fillId="0" borderId="0" xfId="21" applyFont="1" applyBorder="1" applyAlignment="1">
      <alignment horizontal="left"/>
      <protection/>
    </xf>
    <xf numFmtId="0" fontId="0" fillId="0" borderId="0" xfId="21" applyFont="1">
      <alignment/>
      <protection/>
    </xf>
    <xf numFmtId="0" fontId="4" fillId="0" borderId="0" xfId="21" applyFont="1" applyBorder="1">
      <alignment/>
      <protection/>
    </xf>
    <xf numFmtId="0" fontId="4" fillId="0" borderId="4" xfId="21" applyFont="1" applyBorder="1">
      <alignment/>
      <protection/>
    </xf>
    <xf numFmtId="0" fontId="4" fillId="0" borderId="5" xfId="21" applyFont="1" applyBorder="1">
      <alignment/>
      <protection/>
    </xf>
    <xf numFmtId="0" fontId="4" fillId="0" borderId="6" xfId="21" applyFont="1" applyBorder="1">
      <alignment/>
      <protection/>
    </xf>
    <xf numFmtId="0" fontId="4" fillId="0" borderId="7" xfId="21" applyFont="1" applyBorder="1">
      <alignment/>
      <protection/>
    </xf>
    <xf numFmtId="0" fontId="4" fillId="0" borderId="0" xfId="21" applyFont="1">
      <alignment/>
      <protection/>
    </xf>
    <xf numFmtId="0" fontId="0" fillId="0" borderId="0" xfId="21" applyAlignment="1">
      <alignment horizontal="left"/>
      <protection/>
    </xf>
    <xf numFmtId="0" fontId="6" fillId="0" borderId="0" xfId="21" applyFont="1">
      <alignment/>
      <protection/>
    </xf>
    <xf numFmtId="0" fontId="6" fillId="0" borderId="8" xfId="21" applyFont="1" applyBorder="1" applyAlignment="1">
      <alignment/>
      <protection/>
    </xf>
    <xf numFmtId="0" fontId="6" fillId="0" borderId="9" xfId="21" applyFont="1" applyBorder="1" applyAlignment="1">
      <alignment horizontal="center" wrapText="1"/>
      <protection/>
    </xf>
    <xf numFmtId="0" fontId="6" fillId="0" borderId="9" xfId="21" applyFont="1" applyBorder="1" applyAlignment="1">
      <alignment horizontal="center"/>
      <protection/>
    </xf>
    <xf numFmtId="0" fontId="6" fillId="0" borderId="10" xfId="21" applyFont="1" applyBorder="1" applyAlignment="1">
      <alignment horizontal="center"/>
      <protection/>
    </xf>
    <xf numFmtId="0" fontId="6" fillId="0" borderId="11" xfId="21" applyFont="1" applyBorder="1" applyAlignment="1">
      <alignment horizontal="center"/>
      <protection/>
    </xf>
    <xf numFmtId="0" fontId="4" fillId="0" borderId="12" xfId="21" applyFont="1" applyBorder="1" applyAlignment="1">
      <alignment wrapText="1"/>
      <protection/>
    </xf>
    <xf numFmtId="190" fontId="4" fillId="0" borderId="13" xfId="21" applyNumberFormat="1" applyFont="1" applyBorder="1">
      <alignment/>
      <protection/>
    </xf>
    <xf numFmtId="0" fontId="4" fillId="0" borderId="13" xfId="21" applyFont="1" applyBorder="1" applyAlignment="1">
      <alignment horizontal="center" wrapText="1"/>
      <protection/>
    </xf>
    <xf numFmtId="191" fontId="4" fillId="0" borderId="14" xfId="21" applyNumberFormat="1" applyFont="1" applyFill="1" applyBorder="1">
      <alignment/>
      <protection/>
    </xf>
    <xf numFmtId="191" fontId="4" fillId="0" borderId="15" xfId="21" applyNumberFormat="1" applyFont="1" applyFill="1" applyBorder="1">
      <alignment/>
      <protection/>
    </xf>
    <xf numFmtId="191" fontId="0" fillId="0" borderId="0" xfId="21" applyNumberFormat="1">
      <alignment/>
      <protection/>
    </xf>
    <xf numFmtId="3" fontId="4" fillId="0" borderId="13" xfId="21" applyNumberFormat="1" applyFont="1" applyBorder="1" applyAlignment="1">
      <alignment horizontal="right"/>
      <protection/>
    </xf>
    <xf numFmtId="3" fontId="4" fillId="0" borderId="14" xfId="21" applyNumberFormat="1" applyFont="1" applyBorder="1" applyAlignment="1">
      <alignment horizontal="right"/>
      <protection/>
    </xf>
    <xf numFmtId="3" fontId="4" fillId="0" borderId="15" xfId="21" applyNumberFormat="1" applyFont="1" applyBorder="1" applyAlignment="1">
      <alignment horizontal="right"/>
      <protection/>
    </xf>
    <xf numFmtId="0" fontId="4" fillId="0" borderId="16" xfId="21" applyFont="1" applyBorder="1">
      <alignment/>
      <protection/>
    </xf>
    <xf numFmtId="0" fontId="4" fillId="0" borderId="17" xfId="21" applyFont="1" applyBorder="1">
      <alignment/>
      <protection/>
    </xf>
    <xf numFmtId="191" fontId="6" fillId="0" borderId="17" xfId="21" applyNumberFormat="1" applyFont="1" applyBorder="1">
      <alignment/>
      <protection/>
    </xf>
    <xf numFmtId="191" fontId="6" fillId="0" borderId="18" xfId="21" applyNumberFormat="1" applyFont="1" applyBorder="1">
      <alignment/>
      <protection/>
    </xf>
    <xf numFmtId="3" fontId="4" fillId="0" borderId="0" xfId="21" applyNumberFormat="1" applyFont="1">
      <alignment/>
      <protection/>
    </xf>
    <xf numFmtId="0" fontId="6" fillId="0" borderId="0" xfId="21" applyFont="1" applyBorder="1">
      <alignment/>
      <protection/>
    </xf>
    <xf numFmtId="190" fontId="4" fillId="0" borderId="13" xfId="21" applyNumberFormat="1" applyFont="1" applyBorder="1" applyAlignment="1">
      <alignment horizontal="center" wrapText="1"/>
      <protection/>
    </xf>
    <xf numFmtId="191" fontId="4" fillId="0" borderId="14" xfId="21" applyNumberFormat="1" applyFont="1" applyBorder="1">
      <alignment/>
      <protection/>
    </xf>
    <xf numFmtId="191" fontId="4" fillId="0" borderId="15" xfId="21" applyNumberFormat="1" applyFont="1" applyBorder="1">
      <alignment/>
      <protection/>
    </xf>
    <xf numFmtId="0" fontId="4" fillId="0" borderId="12" xfId="21" applyFont="1" applyBorder="1">
      <alignment/>
      <protection/>
    </xf>
    <xf numFmtId="190" fontId="4" fillId="0" borderId="13" xfId="21" applyNumberFormat="1" applyFont="1" applyBorder="1" applyAlignment="1">
      <alignment horizontal="right"/>
      <protection/>
    </xf>
    <xf numFmtId="190" fontId="4" fillId="0" borderId="13" xfId="21" applyNumberFormat="1" applyFont="1" applyBorder="1" applyAlignment="1">
      <alignment horizontal="center"/>
      <protection/>
    </xf>
    <xf numFmtId="3" fontId="4" fillId="0" borderId="14" xfId="21" applyNumberFormat="1" applyFont="1" applyBorder="1">
      <alignment/>
      <protection/>
    </xf>
    <xf numFmtId="173" fontId="0" fillId="0" borderId="13" xfId="15" applyNumberFormat="1" applyBorder="1" applyAlignment="1">
      <alignment/>
    </xf>
    <xf numFmtId="173" fontId="0" fillId="0" borderId="15" xfId="15" applyNumberFormat="1" applyBorder="1" applyAlignment="1">
      <alignment/>
    </xf>
    <xf numFmtId="191" fontId="6" fillId="0" borderId="19" xfId="17" applyNumberFormat="1" applyFont="1" applyBorder="1" applyAlignment="1">
      <alignment horizontal="right"/>
    </xf>
    <xf numFmtId="191" fontId="6" fillId="0" borderId="18" xfId="17" applyNumberFormat="1" applyFont="1" applyBorder="1" applyAlignment="1">
      <alignment horizontal="right"/>
    </xf>
    <xf numFmtId="3" fontId="7" fillId="0" borderId="0" xfId="21" applyNumberFormat="1" applyFont="1" applyBorder="1">
      <alignment/>
      <protection/>
    </xf>
    <xf numFmtId="0" fontId="4" fillId="0" borderId="8" xfId="21" applyFont="1" applyBorder="1">
      <alignment/>
      <protection/>
    </xf>
    <xf numFmtId="0" fontId="4" fillId="0" borderId="20" xfId="21" applyFont="1" applyBorder="1" applyAlignment="1">
      <alignment horizontal="center"/>
      <protection/>
    </xf>
    <xf numFmtId="0" fontId="4" fillId="0" borderId="21" xfId="21" applyFont="1" applyBorder="1" applyAlignment="1">
      <alignment horizontal="center"/>
      <protection/>
    </xf>
    <xf numFmtId="0" fontId="0" fillId="0" borderId="0" xfId="21" applyBorder="1">
      <alignment/>
      <protection/>
    </xf>
    <xf numFmtId="0" fontId="4" fillId="0" borderId="22" xfId="21" applyFont="1" applyBorder="1" applyAlignment="1">
      <alignment horizontal="center"/>
      <protection/>
    </xf>
    <xf numFmtId="0" fontId="4" fillId="0" borderId="23" xfId="21" applyFont="1" applyBorder="1" applyAlignment="1">
      <alignment horizontal="center"/>
      <protection/>
    </xf>
    <xf numFmtId="0" fontId="4" fillId="0" borderId="22" xfId="21" applyFont="1" applyBorder="1">
      <alignment/>
      <protection/>
    </xf>
    <xf numFmtId="0" fontId="4" fillId="0" borderId="23" xfId="21" applyFont="1" applyBorder="1">
      <alignment/>
      <protection/>
    </xf>
    <xf numFmtId="191" fontId="4" fillId="0" borderId="13" xfId="15" applyNumberFormat="1" applyFont="1" applyBorder="1" applyAlignment="1">
      <alignment/>
    </xf>
    <xf numFmtId="191" fontId="4" fillId="0" borderId="14" xfId="15" applyNumberFormat="1" applyFont="1" applyBorder="1" applyAlignment="1">
      <alignment/>
    </xf>
    <xf numFmtId="191" fontId="4" fillId="0" borderId="15" xfId="15" applyNumberFormat="1" applyFont="1" applyBorder="1" applyAlignment="1">
      <alignment/>
    </xf>
    <xf numFmtId="3" fontId="0" fillId="0" borderId="0" xfId="21" applyNumberFormat="1" applyBorder="1">
      <alignment/>
      <protection/>
    </xf>
    <xf numFmtId="191" fontId="4" fillId="0" borderId="13" xfId="21" applyNumberFormat="1" applyFont="1" applyBorder="1">
      <alignment/>
      <protection/>
    </xf>
    <xf numFmtId="191" fontId="0" fillId="0" borderId="0" xfId="21" applyNumberFormat="1" applyFont="1" applyBorder="1">
      <alignment/>
      <protection/>
    </xf>
    <xf numFmtId="0" fontId="4" fillId="0" borderId="24" xfId="21" applyFont="1" applyBorder="1">
      <alignment/>
      <protection/>
    </xf>
    <xf numFmtId="0" fontId="4" fillId="0" borderId="25" xfId="21" applyFont="1" applyBorder="1">
      <alignment/>
      <protection/>
    </xf>
    <xf numFmtId="3" fontId="0" fillId="0" borderId="0" xfId="21" applyNumberFormat="1">
      <alignment/>
      <protection/>
    </xf>
    <xf numFmtId="0" fontId="8" fillId="0" borderId="20" xfId="21" applyFont="1" applyBorder="1">
      <alignment/>
      <protection/>
    </xf>
    <xf numFmtId="0" fontId="4" fillId="0" borderId="20" xfId="21" applyFont="1" applyBorder="1">
      <alignment/>
      <protection/>
    </xf>
    <xf numFmtId="0" fontId="9" fillId="0" borderId="2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3" fontId="1" fillId="0" borderId="0" xfId="21" applyNumberFormat="1" applyFont="1" applyBorder="1" applyAlignment="1">
      <alignment horizontal="right" vertical="center" wrapText="1"/>
      <protection/>
    </xf>
    <xf numFmtId="0" fontId="1" fillId="0" borderId="26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9" fillId="0" borderId="26" xfId="21" applyFont="1" applyBorder="1" applyAlignment="1">
      <alignment horizontal="left" vertical="center" wrapText="1"/>
      <protection/>
    </xf>
    <xf numFmtId="3" fontId="9" fillId="0" borderId="26" xfId="21" applyNumberFormat="1" applyFont="1" applyBorder="1" applyAlignment="1">
      <alignment horizontal="right" vertical="center" wrapText="1"/>
      <protection/>
    </xf>
    <xf numFmtId="192" fontId="1" fillId="0" borderId="0" xfId="21" applyNumberFormat="1" applyFont="1" applyBorder="1" applyAlignment="1">
      <alignment horizontal="right" vertical="center"/>
      <protection/>
    </xf>
    <xf numFmtId="192" fontId="1" fillId="0" borderId="27" xfId="21" applyNumberFormat="1" applyFont="1" applyBorder="1" applyAlignment="1">
      <alignment horizontal="right" vertical="center"/>
      <protection/>
    </xf>
    <xf numFmtId="192" fontId="1" fillId="0" borderId="26" xfId="21" applyNumberFormat="1" applyFont="1" applyBorder="1" applyAlignment="1">
      <alignment horizontal="right" vertical="center"/>
      <protection/>
    </xf>
    <xf numFmtId="0" fontId="1" fillId="0" borderId="27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2" fontId="12" fillId="0" borderId="0" xfId="21" applyNumberFormat="1" applyFont="1">
      <alignment/>
      <protection/>
    </xf>
    <xf numFmtId="2" fontId="13" fillId="0" borderId="0" xfId="21" applyNumberFormat="1" applyFont="1">
      <alignment/>
      <protection/>
    </xf>
    <xf numFmtId="2" fontId="14" fillId="0" borderId="0" xfId="21" applyNumberFormat="1" applyFont="1">
      <alignment/>
      <protection/>
    </xf>
    <xf numFmtId="44" fontId="15" fillId="0" borderId="0" xfId="17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 quotePrefix="1">
      <alignment horizontal="right"/>
    </xf>
    <xf numFmtId="0" fontId="0" fillId="0" borderId="0" xfId="0" applyNumberFormat="1" applyBorder="1" applyAlignment="1">
      <alignment/>
    </xf>
    <xf numFmtId="19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11" fillId="0" borderId="0" xfId="0" applyFont="1" applyAlignment="1">
      <alignment/>
    </xf>
    <xf numFmtId="173" fontId="0" fillId="0" borderId="13" xfId="15" applyNumberFormat="1" applyBorder="1" applyAlignment="1">
      <alignment horizontal="center"/>
    </xf>
    <xf numFmtId="44" fontId="0" fillId="0" borderId="13" xfId="17" applyBorder="1" applyAlignment="1">
      <alignment horizontal="center"/>
    </xf>
    <xf numFmtId="188" fontId="0" fillId="0" borderId="13" xfId="17" applyNumberFormat="1" applyBorder="1" applyAlignment="1">
      <alignment horizontal="center"/>
    </xf>
    <xf numFmtId="0" fontId="0" fillId="0" borderId="13" xfId="0" applyBorder="1" applyAlignment="1">
      <alignment horizontal="center"/>
    </xf>
    <xf numFmtId="188" fontId="0" fillId="3" borderId="13" xfId="17" applyNumberFormat="1" applyFill="1" applyBorder="1" applyAlignment="1">
      <alignment horizontal="center"/>
    </xf>
    <xf numFmtId="0" fontId="11" fillId="2" borderId="13" xfId="0" applyFont="1" applyFill="1" applyBorder="1" applyAlignment="1">
      <alignment horizontal="center" wrapText="1"/>
    </xf>
    <xf numFmtId="0" fontId="11" fillId="0" borderId="0" xfId="0" applyFont="1" applyBorder="1" applyAlignment="1">
      <alignment/>
    </xf>
    <xf numFmtId="0" fontId="0" fillId="0" borderId="13" xfId="0" applyBorder="1" applyAlignment="1">
      <alignment/>
    </xf>
    <xf numFmtId="0" fontId="11" fillId="2" borderId="13" xfId="0" applyFont="1" applyFill="1" applyBorder="1" applyAlignment="1">
      <alignment/>
    </xf>
    <xf numFmtId="0" fontId="4" fillId="0" borderId="28" xfId="21" applyFont="1" applyBorder="1" applyAlignment="1">
      <alignment horizontal="left"/>
      <protection/>
    </xf>
    <xf numFmtId="0" fontId="0" fillId="0" borderId="1" xfId="0" applyBorder="1" applyAlignment="1">
      <alignment/>
    </xf>
    <xf numFmtId="0" fontId="1" fillId="0" borderId="0" xfId="21" applyFont="1" applyAlignment="1">
      <alignment horizontal="left"/>
      <protection/>
    </xf>
    <xf numFmtId="0" fontId="1" fillId="0" borderId="0" xfId="21" applyFont="1" applyAlignment="1">
      <alignment horizontal="left" wrapText="1"/>
      <protection/>
    </xf>
    <xf numFmtId="0" fontId="4" fillId="0" borderId="4" xfId="21" applyFont="1" applyBorder="1" applyAlignment="1">
      <alignment/>
      <protection/>
    </xf>
    <xf numFmtId="0" fontId="0" fillId="0" borderId="0" xfId="0" applyAlignment="1">
      <alignment/>
    </xf>
    <xf numFmtId="0" fontId="10" fillId="0" borderId="27" xfId="21" applyFont="1" applyBorder="1" applyAlignment="1">
      <alignment horizontal="left" vertical="center" wrapText="1"/>
      <protection/>
    </xf>
    <xf numFmtId="0" fontId="0" fillId="0" borderId="27" xfId="0" applyBorder="1" applyAlignment="1">
      <alignment horizontal="left" vertical="center" wrapText="1"/>
    </xf>
    <xf numFmtId="0" fontId="10" fillId="0" borderId="0" xfId="21" applyFont="1" applyBorder="1" applyAlignment="1">
      <alignment horizontal="left" vertical="center" wrapText="1"/>
      <protection/>
    </xf>
    <xf numFmtId="0" fontId="0" fillId="0" borderId="0" xfId="0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4" fillId="0" borderId="4" xfId="21" applyFont="1" applyBorder="1" applyAlignment="1">
      <alignment horizontal="left"/>
      <protection/>
    </xf>
    <xf numFmtId="0" fontId="0" fillId="0" borderId="3" xfId="0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attemj\Local%20Settings\Temporary%20Internet%20Files\OLKD1\2010cos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budget"/>
    </sheetNames>
    <sheetDataSet>
      <sheetData sheetId="0">
        <row r="5">
          <cell r="B5">
            <v>89.00345565170527</v>
          </cell>
          <cell r="E5">
            <v>127.51875916673711</v>
          </cell>
          <cell r="F5">
            <v>93.47942463166545</v>
          </cell>
          <cell r="G5">
            <v>2.7263225960703052</v>
          </cell>
        </row>
        <row r="6">
          <cell r="B6">
            <v>92.03679623328</v>
          </cell>
          <cell r="E6">
            <v>128.17725471893942</v>
          </cell>
          <cell r="F6">
            <v>91.10455944435346</v>
          </cell>
          <cell r="G6">
            <v>2.700376876808</v>
          </cell>
        </row>
        <row r="7">
          <cell r="B7">
            <v>99.08734169395423</v>
          </cell>
          <cell r="E7">
            <v>135.67852624321532</v>
          </cell>
          <cell r="F7">
            <v>91.55386179004695</v>
          </cell>
          <cell r="G7">
            <v>3.075583534977355</v>
          </cell>
        </row>
        <row r="8">
          <cell r="B8">
            <v>77.91024359039487</v>
          </cell>
          <cell r="E8">
            <v>122.72786415384232</v>
          </cell>
          <cell r="F8">
            <v>99.78184097029843</v>
          </cell>
          <cell r="G8">
            <v>4.077325921094935</v>
          </cell>
        </row>
        <row r="9">
          <cell r="B9">
            <v>81.17615277790317</v>
          </cell>
          <cell r="E9">
            <v>116.91028345038072</v>
          </cell>
          <cell r="F9">
            <v>90.68534444376624</v>
          </cell>
          <cell r="G9">
            <v>1.7638319374700058</v>
          </cell>
        </row>
        <row r="10">
          <cell r="B10">
            <v>82.13312276166</v>
          </cell>
          <cell r="E10">
            <v>117.65801490857957</v>
          </cell>
          <cell r="F10">
            <v>90.49176590385686</v>
          </cell>
          <cell r="G10">
            <v>2.099089447801632</v>
          </cell>
        </row>
        <row r="11">
          <cell r="B11">
            <v>84.31201364857824</v>
          </cell>
          <cell r="E11">
            <v>119.95864355515799</v>
          </cell>
          <cell r="F11">
            <v>90.6122907320052</v>
          </cell>
          <cell r="G11">
            <v>2.2484942718186662</v>
          </cell>
        </row>
        <row r="12">
          <cell r="B12">
            <v>101.18483175523338</v>
          </cell>
          <cell r="E12">
            <v>138.01071797831963</v>
          </cell>
          <cell r="F12">
            <v>91.78859266948885</v>
          </cell>
          <cell r="G12">
            <v>3.225287768961956</v>
          </cell>
        </row>
        <row r="13">
          <cell r="B13">
            <v>97.3358056470298</v>
          </cell>
          <cell r="E13">
            <v>133.73099954557588</v>
          </cell>
          <cell r="F13">
            <v>91.3578467508062</v>
          </cell>
          <cell r="G13">
            <v>2.950820286580708</v>
          </cell>
        </row>
        <row r="14">
          <cell r="B14">
            <v>73.27523079235199</v>
          </cell>
          <cell r="E14">
            <v>117.68594561233853</v>
          </cell>
          <cell r="F14">
            <v>99.37650236134074</v>
          </cell>
          <cell r="G14">
            <v>3.3653534529920917</v>
          </cell>
        </row>
        <row r="15">
          <cell r="B15">
            <v>86.51080137184115</v>
          </cell>
          <cell r="E15">
            <v>132.083461135982</v>
          </cell>
          <cell r="F15">
            <v>100.53397225435094</v>
          </cell>
          <cell r="G15">
            <v>5.280276093268824</v>
          </cell>
        </row>
        <row r="16">
          <cell r="B16">
            <v>74.58027859689817</v>
          </cell>
          <cell r="E16">
            <v>93.65824807198365</v>
          </cell>
          <cell r="F16">
            <v>93.65824807198365</v>
          </cell>
          <cell r="G1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tabSelected="1" workbookViewId="0" topLeftCell="A24">
      <selection activeCell="A48" sqref="A48:F48"/>
    </sheetView>
  </sheetViews>
  <sheetFormatPr defaultColWidth="9.140625" defaultRowHeight="12.75"/>
  <cols>
    <col min="1" max="1" width="22.421875" style="5" customWidth="1"/>
    <col min="2" max="2" width="6.421875" style="5" bestFit="1" customWidth="1"/>
    <col min="3" max="3" width="13.7109375" style="5" customWidth="1"/>
    <col min="4" max="4" width="13.57421875" style="5" customWidth="1"/>
    <col min="5" max="5" width="13.7109375" style="5" customWidth="1"/>
    <col min="6" max="6" width="14.140625" style="5" customWidth="1"/>
    <col min="7" max="16384" width="9.140625" style="5" customWidth="1"/>
  </cols>
  <sheetData>
    <row r="1" spans="1:8" ht="15.75">
      <c r="A1" s="1"/>
      <c r="B1" s="2"/>
      <c r="C1" s="3" t="s">
        <v>1</v>
      </c>
      <c r="D1" s="2"/>
      <c r="E1" s="2"/>
      <c r="F1" s="2"/>
      <c r="G1" s="4"/>
      <c r="H1" s="4"/>
    </row>
    <row r="2" spans="1:7" ht="14.25" thickBot="1">
      <c r="A2" s="6"/>
      <c r="B2" s="7"/>
      <c r="C2" s="7"/>
      <c r="D2" s="7"/>
      <c r="E2" s="7"/>
      <c r="F2" s="7"/>
      <c r="G2" s="8"/>
    </row>
    <row r="3" spans="1:7" ht="18" customHeight="1" thickTop="1">
      <c r="A3" s="109" t="s">
        <v>41</v>
      </c>
      <c r="B3" s="110"/>
      <c r="C3" s="110"/>
      <c r="D3" s="9"/>
      <c r="E3" s="9"/>
      <c r="F3" s="10"/>
      <c r="G3" s="8"/>
    </row>
    <row r="4" spans="1:7" ht="18" customHeight="1">
      <c r="A4" s="126" t="s">
        <v>56</v>
      </c>
      <c r="B4" s="114"/>
      <c r="C4" s="114"/>
      <c r="D4" s="114"/>
      <c r="E4" s="114"/>
      <c r="F4" s="127"/>
      <c r="G4" s="8"/>
    </row>
    <row r="5" spans="1:6" ht="18" customHeight="1">
      <c r="A5" s="113" t="s">
        <v>2</v>
      </c>
      <c r="B5" s="114"/>
      <c r="C5" s="12"/>
      <c r="D5" s="13"/>
      <c r="E5" s="14"/>
      <c r="F5" s="11"/>
    </row>
    <row r="6" spans="1:6" ht="18" customHeight="1">
      <c r="A6" s="15" t="s">
        <v>42</v>
      </c>
      <c r="B6" s="14"/>
      <c r="C6" s="14"/>
      <c r="D6" s="14"/>
      <c r="E6" s="14"/>
      <c r="F6" s="11"/>
    </row>
    <row r="7" spans="1:6" ht="18" customHeight="1" thickBot="1">
      <c r="A7" s="16" t="s">
        <v>3</v>
      </c>
      <c r="B7" s="17"/>
      <c r="C7" s="17"/>
      <c r="D7" s="17"/>
      <c r="E7" s="17"/>
      <c r="F7" s="18"/>
    </row>
    <row r="8" spans="1:7" ht="18" customHeight="1" thickTop="1">
      <c r="A8" s="19"/>
      <c r="B8" s="19"/>
      <c r="C8" s="14"/>
      <c r="D8" s="14"/>
      <c r="E8" s="14"/>
      <c r="F8" s="14"/>
      <c r="G8" s="20"/>
    </row>
    <row r="9" spans="1:6" ht="18" customHeight="1">
      <c r="A9" s="14" t="s">
        <v>4</v>
      </c>
      <c r="B9" s="19"/>
      <c r="C9" s="19"/>
      <c r="D9" s="19"/>
      <c r="E9" s="19"/>
      <c r="F9" s="19"/>
    </row>
    <row r="10" spans="1:7" ht="18" customHeight="1" thickBot="1">
      <c r="A10" s="21" t="s">
        <v>5</v>
      </c>
      <c r="B10" s="19"/>
      <c r="C10" s="19"/>
      <c r="D10" s="19"/>
      <c r="E10" s="19"/>
      <c r="F10" s="19"/>
      <c r="G10" s="20"/>
    </row>
    <row r="11" spans="1:6" ht="27">
      <c r="A11" s="22" t="s">
        <v>6</v>
      </c>
      <c r="B11" s="23" t="s">
        <v>7</v>
      </c>
      <c r="C11" s="23" t="s">
        <v>8</v>
      </c>
      <c r="D11" s="24">
        <v>2010</v>
      </c>
      <c r="E11" s="25">
        <f>D11+1</f>
        <v>2011</v>
      </c>
      <c r="F11" s="26">
        <f>E11+1</f>
        <v>2012</v>
      </c>
    </row>
    <row r="12" spans="1:6" ht="13.5">
      <c r="A12" s="27" t="s">
        <v>9</v>
      </c>
      <c r="B12" s="28">
        <v>4640</v>
      </c>
      <c r="C12" s="29" t="s">
        <v>10</v>
      </c>
      <c r="D12" s="30">
        <f>ROUND(SUM(D32:D36)*22*0.888,2)</f>
        <v>234869.28</v>
      </c>
      <c r="E12" s="30">
        <f>ROUND(SUM(E32:E36)*22*0.888,2)</f>
        <v>941914.56</v>
      </c>
      <c r="F12" s="31">
        <f>ROUND(SUM(F32:F36)*22*0.888,2)</f>
        <v>943766.9</v>
      </c>
    </row>
    <row r="13" spans="1:7" ht="13.5">
      <c r="A13" s="27" t="s">
        <v>9</v>
      </c>
      <c r="B13" s="28">
        <v>4640</v>
      </c>
      <c r="C13" s="29" t="s">
        <v>40</v>
      </c>
      <c r="D13" s="30">
        <f>ROUND(YearlyPartnershipHrs!B$2*costs!$C14,2)+ROUND(Rt200RevEst!$K5,2)</f>
        <v>154892.06</v>
      </c>
      <c r="E13" s="30">
        <f>ROUND(YearlyPartnershipHrs!C$2*costs!$C14,2)+ROUND(Rt200RevEst!$I6,2)</f>
        <v>644241.5199999999</v>
      </c>
      <c r="F13" s="31">
        <f>ROUND(YearlyPartnershipHrs!D$2*costs!$C14,2)+ROUND(Rt200RevEst!$I7,2)</f>
        <v>678756.95</v>
      </c>
      <c r="G13" s="32"/>
    </row>
    <row r="14" spans="1:6" ht="13.5">
      <c r="A14" s="27"/>
      <c r="B14" s="28"/>
      <c r="C14" s="29"/>
      <c r="D14" s="33"/>
      <c r="E14" s="34"/>
      <c r="F14" s="35"/>
    </row>
    <row r="15" spans="1:6" ht="18" customHeight="1" thickBot="1">
      <c r="A15" s="36" t="s">
        <v>11</v>
      </c>
      <c r="B15" s="37"/>
      <c r="C15" s="37"/>
      <c r="D15" s="38">
        <f>SUM(D12:D14)</f>
        <v>389761.33999999997</v>
      </c>
      <c r="E15" s="38">
        <f>SUM(E12:E14)</f>
        <v>1586156.08</v>
      </c>
      <c r="F15" s="39">
        <f>SUM(F12:F14)</f>
        <v>1622523.85</v>
      </c>
    </row>
    <row r="16" spans="1:6" ht="18" customHeight="1">
      <c r="A16" s="19"/>
      <c r="B16" s="19"/>
      <c r="C16" s="19"/>
      <c r="D16" s="40"/>
      <c r="E16" s="40"/>
      <c r="F16" s="40"/>
    </row>
    <row r="17" spans="1:6" ht="18" customHeight="1" thickBot="1">
      <c r="A17" s="41" t="s">
        <v>12</v>
      </c>
      <c r="B17" s="14"/>
      <c r="C17" s="19"/>
      <c r="D17" s="19"/>
      <c r="E17" s="19"/>
      <c r="F17" s="19"/>
    </row>
    <row r="18" spans="1:6" ht="27">
      <c r="A18" s="22" t="s">
        <v>6</v>
      </c>
      <c r="B18" s="23" t="s">
        <v>7</v>
      </c>
      <c r="C18" s="23" t="s">
        <v>13</v>
      </c>
      <c r="D18" s="24">
        <f>D11</f>
        <v>2010</v>
      </c>
      <c r="E18" s="25">
        <f>D18+1</f>
        <v>2011</v>
      </c>
      <c r="F18" s="26">
        <f>E18+1</f>
        <v>2012</v>
      </c>
    </row>
    <row r="19" spans="1:6" ht="13.5">
      <c r="A19" s="27" t="s">
        <v>9</v>
      </c>
      <c r="B19" s="28">
        <v>4640</v>
      </c>
      <c r="C19" s="42" t="s">
        <v>14</v>
      </c>
      <c r="D19" s="43">
        <f>ROUND((D32*D38)+(D33*D39)+D34*D40+(D35*D41)+(D36*D42),2)</f>
        <v>1105975.59</v>
      </c>
      <c r="E19" s="43">
        <f>ROUND((E32*E38)+(E33*E39)+E34*E40+(E35*E41)+(E36*E42),2)</f>
        <v>4662379.93</v>
      </c>
      <c r="F19" s="44">
        <f>ROUND((F32*F38)+(F33*F39)+F34*F40+(F35*F41)+(F36*F42),2)</f>
        <v>4978545.53</v>
      </c>
    </row>
    <row r="20" spans="1:6" ht="18" customHeight="1">
      <c r="A20" s="45"/>
      <c r="B20" s="46"/>
      <c r="C20" s="47"/>
      <c r="D20" s="48"/>
      <c r="E20" s="49"/>
      <c r="F20" s="44"/>
    </row>
    <row r="21" spans="1:6" ht="18" customHeight="1">
      <c r="A21" s="45"/>
      <c r="B21" s="46"/>
      <c r="C21" s="47"/>
      <c r="D21" s="48"/>
      <c r="E21" s="49"/>
      <c r="F21" s="50"/>
    </row>
    <row r="22" spans="1:7" ht="18" customHeight="1" thickBot="1">
      <c r="A22" s="36" t="s">
        <v>11</v>
      </c>
      <c r="B22" s="37"/>
      <c r="C22" s="37"/>
      <c r="D22" s="51">
        <f>SUM(D19:D21)</f>
        <v>1105975.59</v>
      </c>
      <c r="E22" s="51">
        <f>SUM(E19:E21)</f>
        <v>4662379.93</v>
      </c>
      <c r="F22" s="52">
        <f>SUM(F19:F21)</f>
        <v>4978545.53</v>
      </c>
      <c r="G22" s="53"/>
    </row>
    <row r="23" spans="1:6" ht="18" customHeight="1">
      <c r="A23" s="19"/>
      <c r="B23" s="19"/>
      <c r="C23" s="19"/>
      <c r="D23" s="40"/>
      <c r="E23" s="40"/>
      <c r="F23" s="40"/>
    </row>
    <row r="24" spans="1:6" ht="18" customHeight="1" thickBot="1">
      <c r="A24" s="41" t="s">
        <v>15</v>
      </c>
      <c r="B24" s="14"/>
      <c r="C24" s="14"/>
      <c r="D24" s="19"/>
      <c r="E24" s="19"/>
      <c r="F24" s="19"/>
    </row>
    <row r="25" spans="1:8" ht="18" customHeight="1">
      <c r="A25" s="54"/>
      <c r="B25" s="55"/>
      <c r="C25" s="56"/>
      <c r="D25" s="24">
        <f>D18</f>
        <v>2010</v>
      </c>
      <c r="E25" s="25">
        <f>D25+1</f>
        <v>2011</v>
      </c>
      <c r="F25" s="26">
        <f>E25+1</f>
        <v>2012</v>
      </c>
      <c r="G25" s="57"/>
      <c r="H25" s="57"/>
    </row>
    <row r="26" spans="1:8" ht="18" customHeight="1">
      <c r="A26" s="45" t="s">
        <v>16</v>
      </c>
      <c r="B26" s="58"/>
      <c r="C26" s="59"/>
      <c r="D26" s="43">
        <f>ROUND(D32*D43+D33*D44+D34*D45+D36*D46,2)</f>
        <v>790666.39</v>
      </c>
      <c r="E26" s="43">
        <f>ROUND(E32*E43+E33*E44+E34*E45+E36*E46,2)</f>
        <v>3332064.17</v>
      </c>
      <c r="F26" s="44">
        <f>ROUND(F32*F43+F33*F44+F34*F45+F36*F46,2)</f>
        <v>3558382.7</v>
      </c>
      <c r="G26" s="57"/>
      <c r="H26" s="57"/>
    </row>
    <row r="27" spans="1:8" ht="18" customHeight="1">
      <c r="A27" s="45" t="s">
        <v>17</v>
      </c>
      <c r="B27" s="60"/>
      <c r="C27" s="61"/>
      <c r="D27" s="62">
        <f>+D22-D26</f>
        <v>315309.20000000007</v>
      </c>
      <c r="E27" s="63">
        <f>+E22-E26</f>
        <v>1330315.7599999998</v>
      </c>
      <c r="F27" s="64">
        <f>+F22-F26</f>
        <v>1420162.83</v>
      </c>
      <c r="G27" s="65"/>
      <c r="H27" s="65"/>
    </row>
    <row r="28" spans="1:8" ht="18" customHeight="1">
      <c r="A28" s="45" t="s">
        <v>18</v>
      </c>
      <c r="B28" s="60"/>
      <c r="C28" s="61"/>
      <c r="D28" s="43"/>
      <c r="E28" s="43"/>
      <c r="F28" s="44"/>
      <c r="G28" s="65"/>
      <c r="H28" s="65"/>
    </row>
    <row r="29" spans="1:6" ht="18" customHeight="1">
      <c r="A29" s="45" t="s">
        <v>19</v>
      </c>
      <c r="B29" s="60"/>
      <c r="C29" s="61"/>
      <c r="D29" s="66"/>
      <c r="E29" s="67"/>
      <c r="F29" s="44"/>
    </row>
    <row r="30" spans="1:8" ht="18" customHeight="1" thickBot="1">
      <c r="A30" s="36" t="s">
        <v>11</v>
      </c>
      <c r="B30" s="68"/>
      <c r="C30" s="69"/>
      <c r="D30" s="38">
        <f>SUM(D26:D29)</f>
        <v>1105975.59</v>
      </c>
      <c r="E30" s="38">
        <f>SUM(E26:E29)</f>
        <v>4662379.93</v>
      </c>
      <c r="F30" s="39">
        <f>SUM(F26:F29)</f>
        <v>4978545.53</v>
      </c>
      <c r="G30" s="70"/>
      <c r="H30" s="70"/>
    </row>
    <row r="31" spans="1:8" ht="18" customHeight="1">
      <c r="A31" s="71" t="s">
        <v>20</v>
      </c>
      <c r="B31" s="72"/>
      <c r="C31" s="72"/>
      <c r="D31" s="73">
        <f>D25</f>
        <v>2010</v>
      </c>
      <c r="E31" s="73">
        <f>D31+1</f>
        <v>2011</v>
      </c>
      <c r="F31" s="73">
        <f>E31+1</f>
        <v>2012</v>
      </c>
      <c r="G31" s="70"/>
      <c r="H31" s="70"/>
    </row>
    <row r="32" spans="1:8" ht="16.5" customHeight="1">
      <c r="A32" s="115" t="s">
        <v>54</v>
      </c>
      <c r="B32" s="116"/>
      <c r="C32" s="74" t="str">
        <f>C38</f>
        <v>Artic Diesel</v>
      </c>
      <c r="D32" s="75">
        <f>HrsByYrAndCoachType!B$17</f>
        <v>-561.3666666666668</v>
      </c>
      <c r="E32" s="75">
        <f>HrsByYrAndCoachType!C$17</f>
        <v>-2254.883333333334</v>
      </c>
      <c r="F32" s="75">
        <f>HrsByYrAndCoachType!D$17</f>
        <v>-2260.1166666666672</v>
      </c>
      <c r="G32" s="70"/>
      <c r="H32" s="70"/>
    </row>
    <row r="33" spans="1:8" ht="16.5" customHeight="1">
      <c r="A33" s="117"/>
      <c r="B33" s="118"/>
      <c r="C33" s="74" t="str">
        <f>C39</f>
        <v>Hybrid</v>
      </c>
      <c r="D33" s="75">
        <f>HrsByYrAndCoachType!B18</f>
        <v>-8665.033333333311</v>
      </c>
      <c r="E33" s="75">
        <f>HrsByYrAndCoachType!C$18</f>
        <v>-34744.59999999991</v>
      </c>
      <c r="F33" s="75">
        <f>HrsByYrAndCoachType!D$18</f>
        <v>-34823.76666666658</v>
      </c>
      <c r="G33" s="70"/>
      <c r="H33" s="70"/>
    </row>
    <row r="34" spans="1:8" ht="16.5" customHeight="1">
      <c r="A34" s="117"/>
      <c r="B34" s="118"/>
      <c r="C34" s="74" t="s">
        <v>57</v>
      </c>
      <c r="D34" s="75">
        <f>HrsByYrAndCoachType!B16</f>
        <v>2864</v>
      </c>
      <c r="E34" s="75">
        <f>HrsByYrAndCoachType!C16</f>
        <v>11411.25</v>
      </c>
      <c r="F34" s="75">
        <f>HrsByYrAndCoachType!D16</f>
        <v>11411.25</v>
      </c>
      <c r="G34" s="70"/>
      <c r="H34" s="70"/>
    </row>
    <row r="35" spans="1:8" ht="16.5" customHeight="1">
      <c r="A35" s="118"/>
      <c r="B35" s="118"/>
      <c r="C35" s="74" t="str">
        <f>C41</f>
        <v>DART</v>
      </c>
      <c r="D35" s="75">
        <f>HrsByYrAndCoachType!B19</f>
        <v>693.9333333333334</v>
      </c>
      <c r="E35" s="75">
        <f>HrsByYrAndCoachType!C19</f>
        <v>2801.95</v>
      </c>
      <c r="F35" s="75">
        <f>HrsByYrAndCoachType!D19</f>
        <v>2801.95</v>
      </c>
      <c r="G35" s="70"/>
      <c r="H35" s="70"/>
    </row>
    <row r="36" spans="1:8" ht="16.5" customHeight="1">
      <c r="A36" s="118"/>
      <c r="B36" s="118"/>
      <c r="C36" s="74" t="str">
        <f>C42</f>
        <v>RapidRide</v>
      </c>
      <c r="D36" s="75">
        <f>HrsByYrAndCoachType!B20</f>
        <v>17690.85</v>
      </c>
      <c r="E36" s="75">
        <f>HrsByYrAndCoachType!C20</f>
        <v>71000.58333333333</v>
      </c>
      <c r="F36" s="75">
        <f>HrsByYrAndCoachType!D20</f>
        <v>71179.79999999999</v>
      </c>
      <c r="G36" s="70"/>
      <c r="H36" s="70"/>
    </row>
    <row r="37" spans="1:6" ht="16.5" customHeight="1">
      <c r="A37" s="77" t="s">
        <v>21</v>
      </c>
      <c r="B37" s="77"/>
      <c r="C37" s="78"/>
      <c r="D37" s="79">
        <f>SUM(D32:D36)</f>
        <v>12022.383333333353</v>
      </c>
      <c r="E37" s="79">
        <f>SUM(E32:E36)</f>
        <v>48214.30000000009</v>
      </c>
      <c r="F37" s="79">
        <f>SUM(F32:F36)</f>
        <v>48309.11666666674</v>
      </c>
    </row>
    <row r="38" spans="1:6" ht="16.5" customHeight="1">
      <c r="A38" s="119" t="s">
        <v>43</v>
      </c>
      <c r="B38" s="119"/>
      <c r="C38" s="83" t="s">
        <v>0</v>
      </c>
      <c r="D38" s="80">
        <f>costs!$B10</f>
        <v>101.18483175523338</v>
      </c>
      <c r="E38" s="80">
        <f>D38*1.051</f>
        <v>106.34525817475027</v>
      </c>
      <c r="F38" s="80">
        <f>E38*1.0656</f>
        <v>113.3215071110139</v>
      </c>
    </row>
    <row r="39" spans="1:6" ht="16.5" customHeight="1">
      <c r="A39" s="120"/>
      <c r="B39" s="120"/>
      <c r="C39" s="74" t="s">
        <v>23</v>
      </c>
      <c r="D39" s="80">
        <f>costs!B11</f>
        <v>97.3358056470298</v>
      </c>
      <c r="E39" s="80">
        <f>D39*1.051</f>
        <v>102.29993173502831</v>
      </c>
      <c r="F39" s="80">
        <f>E39*1.0656</f>
        <v>109.01080725684618</v>
      </c>
    </row>
    <row r="40" spans="1:6" ht="16.5" customHeight="1">
      <c r="A40" s="120"/>
      <c r="B40" s="120"/>
      <c r="C40" s="74" t="s">
        <v>57</v>
      </c>
      <c r="D40" s="80">
        <f>costs!B7</f>
        <v>81.17615277790317</v>
      </c>
      <c r="E40" s="80">
        <f>D40*1.051</f>
        <v>85.31613656957623</v>
      </c>
      <c r="F40" s="80">
        <f>E40*1.0656</f>
        <v>90.91287512854043</v>
      </c>
    </row>
    <row r="41" spans="1:6" ht="16.5" customHeight="1">
      <c r="A41" s="120"/>
      <c r="B41" s="120"/>
      <c r="C41" s="74" t="s">
        <v>24</v>
      </c>
      <c r="D41" s="80">
        <f>costs!B14</f>
        <v>74.58027859689817</v>
      </c>
      <c r="E41" s="80">
        <f>D41*1.051</f>
        <v>78.38387280533998</v>
      </c>
      <c r="F41" s="80">
        <f>E41*1.0656</f>
        <v>83.52585486137029</v>
      </c>
    </row>
    <row r="42" spans="1:6" ht="16.5" customHeight="1">
      <c r="A42" s="121"/>
      <c r="B42" s="121"/>
      <c r="C42" s="76" t="s">
        <v>53</v>
      </c>
      <c r="D42" s="82">
        <f>costs!B11</f>
        <v>97.3358056470298</v>
      </c>
      <c r="E42" s="82">
        <f>D42*1.051</f>
        <v>102.29993173502831</v>
      </c>
      <c r="F42" s="82">
        <f>E42*1.0656</f>
        <v>109.01080725684618</v>
      </c>
    </row>
    <row r="43" spans="1:6" ht="12.75">
      <c r="A43" s="122" t="s">
        <v>22</v>
      </c>
      <c r="B43" s="116"/>
      <c r="C43" s="83" t="str">
        <f>C38</f>
        <v>Artic Diesel</v>
      </c>
      <c r="D43" s="81">
        <f aca="true" t="shared" si="0" ref="D43:F45">0.75*D38</f>
        <v>75.88862381642502</v>
      </c>
      <c r="E43" s="81">
        <f t="shared" si="0"/>
        <v>79.7589436310627</v>
      </c>
      <c r="F43" s="81">
        <f t="shared" si="0"/>
        <v>84.99113033326043</v>
      </c>
    </row>
    <row r="44" spans="1:6" ht="12.75">
      <c r="A44" s="123"/>
      <c r="B44" s="118"/>
      <c r="C44" s="74" t="str">
        <f>C39</f>
        <v>Hybrid</v>
      </c>
      <c r="D44" s="80">
        <f t="shared" si="0"/>
        <v>73.00185423527235</v>
      </c>
      <c r="E44" s="80">
        <f t="shared" si="0"/>
        <v>76.72494880127124</v>
      </c>
      <c r="F44" s="80">
        <f t="shared" si="0"/>
        <v>81.75810544263463</v>
      </c>
    </row>
    <row r="45" spans="1:6" ht="12.75">
      <c r="A45" s="123"/>
      <c r="B45" s="118"/>
      <c r="C45" s="74" t="s">
        <v>57</v>
      </c>
      <c r="D45" s="80">
        <f t="shared" si="0"/>
        <v>60.88211458342738</v>
      </c>
      <c r="E45" s="80">
        <f t="shared" si="0"/>
        <v>63.98710242718217</v>
      </c>
      <c r="F45" s="80">
        <f t="shared" si="0"/>
        <v>68.18465634640532</v>
      </c>
    </row>
    <row r="46" spans="1:6" ht="12.75">
      <c r="A46" s="124"/>
      <c r="B46" s="125"/>
      <c r="C46" s="76" t="str">
        <f>C42</f>
        <v>RapidRide</v>
      </c>
      <c r="D46" s="82">
        <f>0.75*D42</f>
        <v>73.00185423527235</v>
      </c>
      <c r="E46" s="82">
        <f>0.75*E42</f>
        <v>76.72494880127124</v>
      </c>
      <c r="F46" s="82">
        <f>0.75*F42</f>
        <v>81.75810544263463</v>
      </c>
    </row>
    <row r="47" spans="1:6" ht="12.75" customHeight="1">
      <c r="A47" s="112" t="s">
        <v>38</v>
      </c>
      <c r="B47" s="112"/>
      <c r="C47" s="112"/>
      <c r="D47" s="112"/>
      <c r="E47" s="112"/>
      <c r="F47" s="112"/>
    </row>
    <row r="48" spans="1:6" ht="15" customHeight="1">
      <c r="A48" s="112" t="s">
        <v>72</v>
      </c>
      <c r="B48" s="112"/>
      <c r="C48" s="112"/>
      <c r="D48" s="112"/>
      <c r="E48" s="112"/>
      <c r="F48" s="112"/>
    </row>
    <row r="49" spans="1:6" ht="12.75">
      <c r="A49" s="111"/>
      <c r="B49" s="111"/>
      <c r="C49" s="111"/>
      <c r="D49" s="111"/>
      <c r="E49" s="111"/>
      <c r="F49" s="111"/>
    </row>
  </sheetData>
  <mergeCells count="9">
    <mergeCell ref="A3:C3"/>
    <mergeCell ref="A49:F49"/>
    <mergeCell ref="A48:F48"/>
    <mergeCell ref="A47:F47"/>
    <mergeCell ref="A5:B5"/>
    <mergeCell ref="A32:B36"/>
    <mergeCell ref="A38:B42"/>
    <mergeCell ref="A43:B46"/>
    <mergeCell ref="A4:F4"/>
  </mergeCells>
  <printOptions horizontalCentered="1"/>
  <pageMargins left="0.5" right="0.5" top="0.52" bottom="0.82" header="0.23" footer="0.5"/>
  <pageSetup fitToHeight="1" fitToWidth="1" horizontalDpi="600" verticalDpi="600" orientation="portrait" scale="87" r:id="rId1"/>
  <headerFooter alignWithMargins="0">
    <oddFooter>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D7" sqref="D7"/>
    </sheetView>
  </sheetViews>
  <sheetFormatPr defaultColWidth="9.140625" defaultRowHeight="12.75"/>
  <sheetData>
    <row r="1" spans="1:4" ht="13.5">
      <c r="A1" s="85"/>
      <c r="B1" s="86" t="s">
        <v>26</v>
      </c>
      <c r="C1" s="86" t="s">
        <v>26</v>
      </c>
      <c r="D1" t="s">
        <v>58</v>
      </c>
    </row>
    <row r="2" spans="1:5" ht="13.5">
      <c r="A2" s="85"/>
      <c r="B2" s="86" t="s">
        <v>27</v>
      </c>
      <c r="C2" s="86" t="s">
        <v>39</v>
      </c>
      <c r="D2" t="s">
        <v>59</v>
      </c>
      <c r="E2" t="s">
        <v>60</v>
      </c>
    </row>
    <row r="3" spans="1:5" ht="13.5">
      <c r="A3" s="87" t="s">
        <v>28</v>
      </c>
      <c r="B3" s="88">
        <f>'[1]2010budget'!$B5</f>
        <v>89.00345565170527</v>
      </c>
      <c r="C3" s="88">
        <f>'[1]2010budget'!$E5</f>
        <v>127.51875916673711</v>
      </c>
      <c r="D3" s="88">
        <f>'[1]2010budget'!F5</f>
        <v>93.47942463166545</v>
      </c>
      <c r="E3" s="88">
        <f>'[1]2010budget'!G5</f>
        <v>2.7263225960703052</v>
      </c>
    </row>
    <row r="4" spans="1:5" ht="13.5">
      <c r="A4" s="87" t="s">
        <v>29</v>
      </c>
      <c r="B4" s="88">
        <f>'[1]2010budget'!$B6</f>
        <v>92.03679623328</v>
      </c>
      <c r="C4" s="88">
        <f>'[1]2010budget'!$E6</f>
        <v>128.17725471893942</v>
      </c>
      <c r="D4" s="88">
        <f>'[1]2010budget'!F6</f>
        <v>91.10455944435346</v>
      </c>
      <c r="E4" s="88">
        <f>'[1]2010budget'!G6</f>
        <v>2.700376876808</v>
      </c>
    </row>
    <row r="5" spans="1:5" ht="13.5">
      <c r="A5" s="87" t="s">
        <v>30</v>
      </c>
      <c r="B5" s="88">
        <f>'[1]2010budget'!$B7</f>
        <v>99.08734169395423</v>
      </c>
      <c r="C5" s="88">
        <f>'[1]2010budget'!$E7</f>
        <v>135.67852624321532</v>
      </c>
      <c r="D5" s="88">
        <f>'[1]2010budget'!F7</f>
        <v>91.55386179004695</v>
      </c>
      <c r="E5" s="88">
        <f>'[1]2010budget'!G7</f>
        <v>3.075583534977355</v>
      </c>
    </row>
    <row r="6" spans="1:5" ht="13.5">
      <c r="A6" s="87" t="s">
        <v>31</v>
      </c>
      <c r="B6" s="88">
        <f>'[1]2010budget'!$B8</f>
        <v>77.91024359039487</v>
      </c>
      <c r="C6" s="88">
        <f>'[1]2010budget'!$E8</f>
        <v>122.72786415384232</v>
      </c>
      <c r="D6" s="88">
        <f>'[1]2010budget'!F8</f>
        <v>99.78184097029843</v>
      </c>
      <c r="E6" s="88">
        <f>'[1]2010budget'!G8</f>
        <v>4.077325921094935</v>
      </c>
    </row>
    <row r="7" spans="1:5" ht="13.5">
      <c r="A7" s="87" t="s">
        <v>32</v>
      </c>
      <c r="B7" s="88">
        <f>'[1]2010budget'!$B9</f>
        <v>81.17615277790317</v>
      </c>
      <c r="C7" s="88">
        <f>'[1]2010budget'!$E9</f>
        <v>116.91028345038072</v>
      </c>
      <c r="D7" s="88">
        <f>'[1]2010budget'!F9</f>
        <v>90.68534444376624</v>
      </c>
      <c r="E7" s="88">
        <f>'[1]2010budget'!G9</f>
        <v>1.7638319374700058</v>
      </c>
    </row>
    <row r="8" spans="1:5" ht="13.5">
      <c r="A8" s="87" t="s">
        <v>33</v>
      </c>
      <c r="B8" s="88">
        <f>'[1]2010budget'!$B10</f>
        <v>82.13312276166</v>
      </c>
      <c r="C8" s="88">
        <f>'[1]2010budget'!$E10</f>
        <v>117.65801490857957</v>
      </c>
      <c r="D8" s="88">
        <f>'[1]2010budget'!F10</f>
        <v>90.49176590385686</v>
      </c>
      <c r="E8" s="88">
        <f>'[1]2010budget'!G10</f>
        <v>2.099089447801632</v>
      </c>
    </row>
    <row r="9" spans="1:5" ht="13.5">
      <c r="A9" s="87" t="s">
        <v>34</v>
      </c>
      <c r="B9" s="88">
        <f>'[1]2010budget'!$B11</f>
        <v>84.31201364857824</v>
      </c>
      <c r="C9" s="88">
        <f>'[1]2010budget'!$E11</f>
        <v>119.95864355515799</v>
      </c>
      <c r="D9" s="88">
        <f>'[1]2010budget'!F11</f>
        <v>90.6122907320052</v>
      </c>
      <c r="E9" s="88">
        <f>'[1]2010budget'!G11</f>
        <v>2.2484942718186662</v>
      </c>
    </row>
    <row r="10" spans="1:5" ht="13.5">
      <c r="A10" s="87" t="s">
        <v>35</v>
      </c>
      <c r="B10" s="88">
        <f>'[1]2010budget'!$B12</f>
        <v>101.18483175523338</v>
      </c>
      <c r="C10" s="88">
        <f>'[1]2010budget'!$E12</f>
        <v>138.01071797831963</v>
      </c>
      <c r="D10" s="88">
        <f>'[1]2010budget'!F12</f>
        <v>91.78859266948885</v>
      </c>
      <c r="E10" s="88">
        <f>'[1]2010budget'!G12</f>
        <v>3.225287768961956</v>
      </c>
    </row>
    <row r="11" spans="1:5" ht="13.5">
      <c r="A11" s="87" t="s">
        <v>23</v>
      </c>
      <c r="B11" s="88">
        <f>'[1]2010budget'!$B13</f>
        <v>97.3358056470298</v>
      </c>
      <c r="C11" s="88">
        <f>'[1]2010budget'!$E13</f>
        <v>133.73099954557588</v>
      </c>
      <c r="D11" s="88">
        <f>'[1]2010budget'!F13</f>
        <v>91.3578467508062</v>
      </c>
      <c r="E11" s="88">
        <f>'[1]2010budget'!G13</f>
        <v>2.950820286580708</v>
      </c>
    </row>
    <row r="12" spans="1:5" ht="13.5">
      <c r="A12" s="87" t="s">
        <v>36</v>
      </c>
      <c r="B12" s="88">
        <f>'[1]2010budget'!$B14</f>
        <v>73.27523079235199</v>
      </c>
      <c r="C12" s="88">
        <f>'[1]2010budget'!$E14</f>
        <v>117.68594561233853</v>
      </c>
      <c r="D12" s="88">
        <f>'[1]2010budget'!F14</f>
        <v>99.37650236134074</v>
      </c>
      <c r="E12" s="88">
        <f>'[1]2010budget'!G14</f>
        <v>3.3653534529920917</v>
      </c>
    </row>
    <row r="13" spans="1:5" ht="13.5">
      <c r="A13" s="87" t="s">
        <v>37</v>
      </c>
      <c r="B13" s="88">
        <f>'[1]2010budget'!$B15</f>
        <v>86.51080137184115</v>
      </c>
      <c r="C13" s="88">
        <f>'[1]2010budget'!$E15</f>
        <v>132.083461135982</v>
      </c>
      <c r="D13" s="88">
        <f>'[1]2010budget'!F15</f>
        <v>100.53397225435094</v>
      </c>
      <c r="E13" s="88">
        <f>'[1]2010budget'!G15</f>
        <v>5.280276093268824</v>
      </c>
    </row>
    <row r="14" spans="1:5" ht="13.5">
      <c r="A14" s="87" t="s">
        <v>24</v>
      </c>
      <c r="B14" s="88">
        <f>'[1]2010budget'!$B16</f>
        <v>74.58027859689817</v>
      </c>
      <c r="C14" s="88">
        <f>'[1]2010budget'!$E16</f>
        <v>93.65824807198365</v>
      </c>
      <c r="D14" s="88">
        <f>'[1]2010budget'!F16</f>
        <v>93.65824807198365</v>
      </c>
      <c r="E14" s="88">
        <f>'[1]2010budget'!G16</f>
        <v>0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&amp;CCosts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6" sqref="B6:B8"/>
    </sheetView>
  </sheetViews>
  <sheetFormatPr defaultColWidth="9.140625" defaultRowHeight="12.75"/>
  <cols>
    <col min="1" max="1" width="10.28125" style="0" bestFit="1" customWidth="1"/>
  </cols>
  <sheetData>
    <row r="1" spans="1:8" ht="12.75">
      <c r="A1" t="s">
        <v>25</v>
      </c>
      <c r="B1" t="s">
        <v>44</v>
      </c>
      <c r="C1" t="s">
        <v>45</v>
      </c>
      <c r="D1" t="s">
        <v>46</v>
      </c>
      <c r="E1" t="s">
        <v>47</v>
      </c>
      <c r="F1" t="s">
        <v>50</v>
      </c>
      <c r="G1" t="s">
        <v>51</v>
      </c>
      <c r="H1" t="s">
        <v>52</v>
      </c>
    </row>
    <row r="2" spans="1:8" ht="12.75">
      <c r="A2">
        <v>200</v>
      </c>
      <c r="B2">
        <v>0</v>
      </c>
      <c r="C2">
        <v>19</v>
      </c>
      <c r="D2">
        <f>ROUND(60*11412/255,0)/60</f>
        <v>44.75</v>
      </c>
      <c r="E2">
        <f>ROUND(60*11412/255,0)/60</f>
        <v>44.75</v>
      </c>
      <c r="F2" s="91">
        <f>64*D2</f>
        <v>2864</v>
      </c>
      <c r="G2" s="91">
        <f>25*D2+230*E2</f>
        <v>11411.25</v>
      </c>
      <c r="H2" s="91">
        <f>255*E2</f>
        <v>11411.25</v>
      </c>
    </row>
    <row r="3" spans="1:8" ht="12.75">
      <c r="A3">
        <v>174</v>
      </c>
      <c r="B3">
        <v>0</v>
      </c>
      <c r="C3">
        <v>23</v>
      </c>
      <c r="D3" s="89">
        <v>-6.31666666666667</v>
      </c>
      <c r="E3" s="89">
        <f>D3</f>
        <v>-6.31666666666667</v>
      </c>
      <c r="F3" s="91">
        <f>64*D3</f>
        <v>-404.2666666666669</v>
      </c>
      <c r="G3" s="91">
        <f>25*D3+230*E3</f>
        <v>-1610.750000000001</v>
      </c>
      <c r="H3" s="91">
        <f>255*E3</f>
        <v>-1610.750000000001</v>
      </c>
    </row>
    <row r="4" spans="1:8" ht="12.75">
      <c r="A4">
        <v>174</v>
      </c>
      <c r="B4">
        <v>1</v>
      </c>
      <c r="C4">
        <v>23</v>
      </c>
      <c r="D4" s="89">
        <v>-6.55</v>
      </c>
      <c r="E4" s="89">
        <f>D4</f>
        <v>-6.55</v>
      </c>
      <c r="F4" s="91">
        <f>12*D4</f>
        <v>-78.6</v>
      </c>
      <c r="G4" s="91">
        <f>4*D4+48*E4</f>
        <v>-340.59999999999997</v>
      </c>
      <c r="H4" s="91">
        <f>52*E4</f>
        <v>-340.59999999999997</v>
      </c>
    </row>
    <row r="5" spans="1:8" ht="12.75">
      <c r="A5">
        <v>174</v>
      </c>
      <c r="B5">
        <v>2</v>
      </c>
      <c r="C5">
        <v>23</v>
      </c>
      <c r="D5" s="89">
        <v>-5.23333333333333</v>
      </c>
      <c r="E5" s="89">
        <f>D5</f>
        <v>-5.23333333333333</v>
      </c>
      <c r="F5" s="91">
        <f>15*D5</f>
        <v>-78.49999999999994</v>
      </c>
      <c r="G5" s="91">
        <f>6*D5+52*E5</f>
        <v>-303.53333333333313</v>
      </c>
      <c r="H5" s="91">
        <f>59*E5</f>
        <v>-308.7666666666665</v>
      </c>
    </row>
    <row r="6" spans="1:8" ht="12.75">
      <c r="A6">
        <v>910</v>
      </c>
      <c r="B6">
        <v>0</v>
      </c>
      <c r="C6">
        <v>57</v>
      </c>
      <c r="D6" s="89">
        <v>9.183333333333334</v>
      </c>
      <c r="E6" s="89">
        <f aca="true" t="shared" si="0" ref="E6:E13">D6</f>
        <v>9.183333333333334</v>
      </c>
      <c r="F6" s="91">
        <f>64*D6</f>
        <v>587.7333333333333</v>
      </c>
      <c r="G6" s="91">
        <f>25*D6+230*E6</f>
        <v>2341.75</v>
      </c>
      <c r="H6" s="91">
        <f>255*E6</f>
        <v>2341.75</v>
      </c>
    </row>
    <row r="7" spans="1:8" ht="12.75">
      <c r="A7">
        <v>910</v>
      </c>
      <c r="B7">
        <v>1</v>
      </c>
      <c r="C7">
        <v>57</v>
      </c>
      <c r="D7" s="89">
        <v>8.85</v>
      </c>
      <c r="E7" s="89">
        <f t="shared" si="0"/>
        <v>8.85</v>
      </c>
      <c r="F7" s="91">
        <f>12*D7</f>
        <v>106.19999999999999</v>
      </c>
      <c r="G7" s="91">
        <f>4*D7+48*E7</f>
        <v>460.19999999999993</v>
      </c>
      <c r="H7" s="91">
        <f>52*E7</f>
        <v>460.2</v>
      </c>
    </row>
    <row r="8" spans="1:8" ht="12.75">
      <c r="A8">
        <v>174</v>
      </c>
      <c r="B8">
        <v>0</v>
      </c>
      <c r="C8">
        <v>68</v>
      </c>
      <c r="D8" s="89">
        <v>-100.733333333333</v>
      </c>
      <c r="E8" s="89">
        <f t="shared" si="0"/>
        <v>-100.733333333333</v>
      </c>
      <c r="F8" s="91">
        <f>64*D8</f>
        <v>-6446.933333333312</v>
      </c>
      <c r="G8" s="91">
        <f>25*D8+230*E8</f>
        <v>-25686.999999999913</v>
      </c>
      <c r="H8" s="91">
        <f>255*E8</f>
        <v>-25686.999999999913</v>
      </c>
    </row>
    <row r="9" spans="1:8" ht="12.75">
      <c r="A9">
        <v>174</v>
      </c>
      <c r="B9">
        <v>1</v>
      </c>
      <c r="C9">
        <v>68</v>
      </c>
      <c r="D9" s="89">
        <v>-85.8833333333334</v>
      </c>
      <c r="E9" s="89">
        <f t="shared" si="0"/>
        <v>-85.8833333333334</v>
      </c>
      <c r="F9" s="91">
        <f>12*D9</f>
        <v>-1030.6000000000008</v>
      </c>
      <c r="G9" s="91">
        <f>4*D9+48*E9</f>
        <v>-4465.933333333337</v>
      </c>
      <c r="H9" s="91">
        <f>52*E9</f>
        <v>-4465.933333333337</v>
      </c>
    </row>
    <row r="10" spans="1:8" ht="12.75">
      <c r="A10">
        <v>174</v>
      </c>
      <c r="B10">
        <v>2</v>
      </c>
      <c r="C10">
        <v>68</v>
      </c>
      <c r="D10" s="89">
        <v>-79.1666666666666</v>
      </c>
      <c r="E10" s="89">
        <f t="shared" si="0"/>
        <v>-79.1666666666666</v>
      </c>
      <c r="F10" s="91">
        <f>15*D10</f>
        <v>-1187.499999999999</v>
      </c>
      <c r="G10" s="91">
        <f>6*D10+52*E10</f>
        <v>-4591.666666666663</v>
      </c>
      <c r="H10" s="91">
        <f>59*E10</f>
        <v>-4670.833333333329</v>
      </c>
    </row>
    <row r="11" spans="1:8" ht="12.75">
      <c r="A11" s="90" t="s">
        <v>48</v>
      </c>
      <c r="B11">
        <v>0</v>
      </c>
      <c r="C11" s="90" t="s">
        <v>49</v>
      </c>
      <c r="D11" s="89">
        <v>197.25</v>
      </c>
      <c r="E11" s="89">
        <f t="shared" si="0"/>
        <v>197.25</v>
      </c>
      <c r="F11" s="91">
        <f>64*D11</f>
        <v>12624</v>
      </c>
      <c r="G11" s="91">
        <f>25*D11+230*E11</f>
        <v>50298.75</v>
      </c>
      <c r="H11" s="91">
        <f>255*E11</f>
        <v>50298.75</v>
      </c>
    </row>
    <row r="12" spans="1:8" ht="12.75">
      <c r="A12" s="90" t="s">
        <v>48</v>
      </c>
      <c r="B12">
        <v>1</v>
      </c>
      <c r="C12" s="90" t="s">
        <v>49</v>
      </c>
      <c r="D12" s="89">
        <v>198.21666666666667</v>
      </c>
      <c r="E12" s="89">
        <f t="shared" si="0"/>
        <v>198.21666666666667</v>
      </c>
      <c r="F12" s="91">
        <f>12*D12</f>
        <v>2378.6</v>
      </c>
      <c r="G12" s="91">
        <f>4*D12+48*E12</f>
        <v>10307.266666666666</v>
      </c>
      <c r="H12" s="91">
        <f>52*E12</f>
        <v>10307.266666666666</v>
      </c>
    </row>
    <row r="13" spans="1:8" ht="12.75">
      <c r="A13" s="90" t="s">
        <v>48</v>
      </c>
      <c r="B13">
        <v>2</v>
      </c>
      <c r="C13" s="90" t="s">
        <v>49</v>
      </c>
      <c r="D13" s="89">
        <v>179.21666666666667</v>
      </c>
      <c r="E13" s="89">
        <f t="shared" si="0"/>
        <v>179.21666666666667</v>
      </c>
      <c r="F13" s="91">
        <f>15*D13</f>
        <v>2688.25</v>
      </c>
      <c r="G13" s="91">
        <f>6*D13+52*E13</f>
        <v>10394.566666666666</v>
      </c>
      <c r="H13" s="91">
        <f>59*E13</f>
        <v>10573.783333333333</v>
      </c>
    </row>
    <row r="14" ht="12.75">
      <c r="F14" s="91"/>
    </row>
    <row r="15" spans="1:6" ht="12.75">
      <c r="A15" s="90" t="s">
        <v>45</v>
      </c>
      <c r="B15" t="s">
        <v>50</v>
      </c>
      <c r="C15" s="90" t="s">
        <v>51</v>
      </c>
      <c r="D15" t="s">
        <v>52</v>
      </c>
      <c r="F15" s="91"/>
    </row>
    <row r="16" spans="1:6" ht="12.75">
      <c r="A16" s="90">
        <v>19</v>
      </c>
      <c r="B16" s="91">
        <f>F2</f>
        <v>2864</v>
      </c>
      <c r="C16" s="91">
        <f>G2</f>
        <v>11411.25</v>
      </c>
      <c r="D16" s="91">
        <f>H2</f>
        <v>11411.25</v>
      </c>
      <c r="F16" s="91"/>
    </row>
    <row r="17" spans="1:4" ht="12.75">
      <c r="A17">
        <v>23</v>
      </c>
      <c r="B17" s="91">
        <f>SUM(F3:F5)</f>
        <v>-561.3666666666668</v>
      </c>
      <c r="C17" s="91">
        <f>SUM(G3:G5)</f>
        <v>-2254.883333333334</v>
      </c>
      <c r="D17" s="91">
        <f>SUM(H3:H5)</f>
        <v>-2260.1166666666672</v>
      </c>
    </row>
    <row r="18" spans="1:4" ht="12.75">
      <c r="A18" s="92">
        <v>68</v>
      </c>
      <c r="B18" s="91">
        <f>SUM(F8:F10)</f>
        <v>-8665.033333333311</v>
      </c>
      <c r="C18" s="91">
        <f>SUM(G8:G10)</f>
        <v>-34744.59999999991</v>
      </c>
      <c r="D18" s="91">
        <f>SUM(H8:H10)</f>
        <v>-34823.76666666658</v>
      </c>
    </row>
    <row r="19" spans="1:4" ht="12.75">
      <c r="A19">
        <v>57</v>
      </c>
      <c r="B19" s="91">
        <f>SUM(F6:F7)</f>
        <v>693.9333333333334</v>
      </c>
      <c r="C19" s="91">
        <f>SUM(G6:G7)</f>
        <v>2801.95</v>
      </c>
      <c r="D19" s="91">
        <f>SUM(H6:H7)</f>
        <v>2801.95</v>
      </c>
    </row>
    <row r="20" spans="1:4" ht="12.75">
      <c r="A20" s="92" t="s">
        <v>49</v>
      </c>
      <c r="B20" s="91">
        <f>SUM(F11:F13)</f>
        <v>17690.85</v>
      </c>
      <c r="C20" s="91">
        <f>SUM(G11:G13)</f>
        <v>71000.58333333333</v>
      </c>
      <c r="D20" s="91">
        <f>SUM(H11:H13)</f>
        <v>71179.79999999999</v>
      </c>
    </row>
    <row r="21" ht="12.75">
      <c r="B21" s="91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&amp;CHours by Year and Coach Type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A1" sqref="A1:D1"/>
    </sheetView>
  </sheetViews>
  <sheetFormatPr defaultColWidth="9.140625" defaultRowHeight="12.75"/>
  <cols>
    <col min="2" max="2" width="21.421875" style="0" bestFit="1" customWidth="1"/>
    <col min="3" max="3" width="12.00390625" style="0" bestFit="1" customWidth="1"/>
    <col min="5" max="5" width="10.140625" style="0" bestFit="1" customWidth="1"/>
  </cols>
  <sheetData>
    <row r="1" spans="1:5" ht="12.75">
      <c r="A1" s="106" t="s">
        <v>55</v>
      </c>
      <c r="B1" s="106">
        <v>2010</v>
      </c>
      <c r="C1" s="106">
        <v>2011</v>
      </c>
      <c r="D1" s="106">
        <v>2012</v>
      </c>
      <c r="E1" s="84"/>
    </row>
    <row r="2" spans="1:5" ht="12.75">
      <c r="A2" s="84">
        <v>910</v>
      </c>
      <c r="B2" s="95">
        <f>0.45*fiscalnote!D$35</f>
        <v>312.27000000000004</v>
      </c>
      <c r="C2" s="95">
        <f>0.45*fiscalnote!E$35</f>
        <v>1260.8775</v>
      </c>
      <c r="D2" s="95">
        <f>0.45*fiscalnote!F$35</f>
        <v>1260.8775</v>
      </c>
      <c r="E2" s="84"/>
    </row>
    <row r="3" spans="1:5" ht="12.75">
      <c r="A3" s="84">
        <v>200</v>
      </c>
      <c r="B3" s="95">
        <f>0.35*fiscalnote!D$34</f>
        <v>1002.4</v>
      </c>
      <c r="C3" s="95">
        <f>0.35*fiscalnote!E$34</f>
        <v>3993.9374999999995</v>
      </c>
      <c r="D3" s="95">
        <f>0.35*fiscalnote!F$34</f>
        <v>3993.9374999999995</v>
      </c>
      <c r="E3" s="84"/>
    </row>
    <row r="4" spans="1:5" ht="12.75">
      <c r="A4" s="84"/>
      <c r="B4" s="84"/>
      <c r="C4" s="93"/>
      <c r="D4" s="84"/>
      <c r="E4" s="94"/>
    </row>
    <row r="5" spans="1:5" ht="12.75">
      <c r="A5" s="84"/>
      <c r="B5" s="84"/>
      <c r="C5" s="93"/>
      <c r="D5" s="84"/>
      <c r="E5" s="94"/>
    </row>
    <row r="6" spans="1:5" ht="12.75">
      <c r="A6" s="84"/>
      <c r="B6" s="84"/>
      <c r="C6" s="93"/>
      <c r="D6" s="84"/>
      <c r="E6" s="94"/>
    </row>
    <row r="7" spans="1:5" ht="12.75">
      <c r="A7" s="84"/>
      <c r="B7" s="84"/>
      <c r="C7" s="93"/>
      <c r="D7" s="84"/>
      <c r="E7" s="94"/>
    </row>
    <row r="8" spans="1:5" ht="12.75">
      <c r="A8" s="84"/>
      <c r="B8" s="84"/>
      <c r="C8" s="93"/>
      <c r="D8" s="84"/>
      <c r="E8" s="94"/>
    </row>
    <row r="9" spans="1:5" ht="12.75">
      <c r="A9" s="84"/>
      <c r="B9" s="84"/>
      <c r="C9" s="93"/>
      <c r="D9" s="84"/>
      <c r="E9" s="94"/>
    </row>
    <row r="10" spans="1:5" ht="12.75">
      <c r="A10" s="84"/>
      <c r="B10" s="84"/>
      <c r="C10" s="93"/>
      <c r="D10" s="84"/>
      <c r="E10" s="94"/>
    </row>
    <row r="11" spans="1:5" ht="12.75">
      <c r="A11" s="84"/>
      <c r="B11" s="84"/>
      <c r="C11" s="93"/>
      <c r="D11" s="84"/>
      <c r="E11" s="94"/>
    </row>
    <row r="12" spans="1:5" ht="12.75">
      <c r="A12" s="84"/>
      <c r="B12" s="84"/>
      <c r="C12" s="93"/>
      <c r="D12" s="84"/>
      <c r="E12" s="94"/>
    </row>
    <row r="13" spans="1:5" ht="12.75">
      <c r="A13" s="84"/>
      <c r="B13" s="84"/>
      <c r="C13" s="93"/>
      <c r="D13" s="84"/>
      <c r="E13" s="94"/>
    </row>
    <row r="14" spans="1:5" ht="12.75">
      <c r="A14" s="84"/>
      <c r="B14" s="84"/>
      <c r="C14" s="93"/>
      <c r="D14" s="84"/>
      <c r="E14" s="94"/>
    </row>
    <row r="15" spans="1:5" ht="12.75">
      <c r="A15" s="84"/>
      <c r="B15" s="84"/>
      <c r="C15" s="93"/>
      <c r="D15" s="84"/>
      <c r="E15" s="94"/>
    </row>
    <row r="16" spans="1:5" ht="12.75">
      <c r="A16" s="84"/>
      <c r="B16" s="84"/>
      <c r="C16" s="93"/>
      <c r="D16" s="84"/>
      <c r="E16" s="94"/>
    </row>
    <row r="17" spans="1:5" ht="12.75">
      <c r="A17" s="84"/>
      <c r="B17" s="84"/>
      <c r="C17" s="93"/>
      <c r="D17" s="84"/>
      <c r="E17" s="94"/>
    </row>
    <row r="18" spans="1:5" ht="12.75">
      <c r="A18" s="84"/>
      <c r="B18" s="84"/>
      <c r="C18" s="93"/>
      <c r="D18" s="84"/>
      <c r="E18" s="94"/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&amp;CYearly Partnership Hours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7"/>
  <sheetViews>
    <sheetView workbookViewId="0" topLeftCell="A1">
      <selection activeCell="H8" sqref="H8"/>
    </sheetView>
  </sheetViews>
  <sheetFormatPr defaultColWidth="9.140625" defaultRowHeight="12.75"/>
  <cols>
    <col min="1" max="1" width="11.00390625" style="97" customWidth="1"/>
    <col min="2" max="2" width="14.00390625" style="97" customWidth="1"/>
    <col min="3" max="3" width="12.57421875" style="97" customWidth="1"/>
    <col min="4" max="4" width="11.28125" style="97" bestFit="1" customWidth="1"/>
    <col min="5" max="5" width="15.140625" style="97" customWidth="1"/>
    <col min="6" max="6" width="11.421875" style="97" customWidth="1"/>
    <col min="7" max="7" width="12.00390625" style="97" customWidth="1"/>
    <col min="8" max="8" width="13.8515625" style="97" bestFit="1" customWidth="1"/>
    <col min="9" max="9" width="13.57421875" style="97" customWidth="1"/>
  </cols>
  <sheetData>
    <row r="1" ht="15.75">
      <c r="A1" s="96" t="s">
        <v>61</v>
      </c>
    </row>
    <row r="4" spans="1:11" s="99" customFormat="1" ht="13.5" customHeight="1">
      <c r="A4" s="98" t="s">
        <v>62</v>
      </c>
      <c r="B4" s="105" t="s">
        <v>63</v>
      </c>
      <c r="C4" s="98" t="s">
        <v>64</v>
      </c>
      <c r="D4" s="98" t="s">
        <v>65</v>
      </c>
      <c r="E4" s="105" t="s">
        <v>66</v>
      </c>
      <c r="F4" s="98" t="s">
        <v>67</v>
      </c>
      <c r="G4" s="98" t="s">
        <v>68</v>
      </c>
      <c r="H4" s="105" t="s">
        <v>69</v>
      </c>
      <c r="I4" s="98" t="s">
        <v>70</v>
      </c>
      <c r="J4" s="108" t="s">
        <v>71</v>
      </c>
      <c r="K4" s="108"/>
    </row>
    <row r="5" spans="1:11" ht="12.75">
      <c r="A5" s="100">
        <v>224650</v>
      </c>
      <c r="B5" s="101">
        <v>1.76</v>
      </c>
      <c r="C5" s="102">
        <f>A5*B5</f>
        <v>395384</v>
      </c>
      <c r="D5" s="100">
        <v>11412</v>
      </c>
      <c r="E5" s="101">
        <v>90.69</v>
      </c>
      <c r="F5" s="102">
        <f>D5*E5</f>
        <v>1034954.28</v>
      </c>
      <c r="G5" s="102">
        <f>F5+C5</f>
        <v>1430338.28</v>
      </c>
      <c r="H5" s="103">
        <v>0.35</v>
      </c>
      <c r="I5" s="104">
        <f>G5*H5</f>
        <v>500618.398</v>
      </c>
      <c r="J5" s="107">
        <v>2010</v>
      </c>
      <c r="K5" s="107">
        <f>I5*64/255</f>
        <v>125645.40185098039</v>
      </c>
    </row>
    <row r="6" spans="9:11" ht="12.75">
      <c r="I6" s="104">
        <f>I5*1.051</f>
        <v>526149.9362979999</v>
      </c>
      <c r="J6" s="107">
        <v>2011</v>
      </c>
      <c r="K6" s="107"/>
    </row>
    <row r="7" spans="9:11" ht="12.75">
      <c r="I7" s="104">
        <f>I6*1.0656</f>
        <v>560665.3721191487</v>
      </c>
      <c r="J7" s="107">
        <v>2012</v>
      </c>
      <c r="K7" s="107"/>
    </row>
  </sheetData>
  <printOptions/>
  <pageMargins left="0.75" right="0.75" top="1" bottom="1" header="0.5" footer="0.5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Transit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WoldM</dc:creator>
  <cp:keywords/>
  <dc:description/>
  <cp:lastModifiedBy>harriss</cp:lastModifiedBy>
  <cp:lastPrinted>2010-04-26T16:53:44Z</cp:lastPrinted>
  <dcterms:created xsi:type="dcterms:W3CDTF">2008-03-11T23:48:05Z</dcterms:created>
  <dcterms:modified xsi:type="dcterms:W3CDTF">2010-04-26T16:55:47Z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