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Transit Oper Financial Plan" sheetId="1" r:id="rId1"/>
    <sheet name="Sheet1" sheetId="2" r:id="rId2"/>
    <sheet name="Sheet2" sheetId="3" r:id="rId3"/>
    <sheet name="Sheet3" sheetId="4" r:id="rId4"/>
  </sheets>
  <externalReferences>
    <externalReference r:id="rId7"/>
  </externalReferences>
  <definedNames>
    <definedName name="ActualFundBalance">#REF!</definedName>
    <definedName name="AdoptedFundBalance">#REF!</definedName>
    <definedName name="EstimatedFundBalance">#REF!</definedName>
    <definedName name="Financial_Plan">#REF!</definedName>
    <definedName name="FIVE">#REF!</definedName>
    <definedName name="FOUR">#REF!</definedName>
    <definedName name="ONE">#REF!</definedName>
    <definedName name="_xlnm.Print_Area" localSheetId="0">'Transit Oper Financial Plan'!$A$1:$O$51</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UM">#REF!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workbook>
</file>

<file path=xl/sharedStrings.xml><?xml version="1.0" encoding="utf-8"?>
<sst xmlns="http://schemas.openxmlformats.org/spreadsheetml/2006/main" count="94" uniqueCount="55">
  <si>
    <t>Form 5</t>
  </si>
  <si>
    <t>Public Transportation Fund - Operating Sub-Fund</t>
  </si>
  <si>
    <t>2008/9 MID-BIENNIAL Adopted + Sup</t>
  </si>
  <si>
    <t>Financial Plan</t>
  </si>
  <si>
    <t>Prepared by Duncan Mitchell</t>
  </si>
  <si>
    <t>($ in 000)</t>
  </si>
  <si>
    <t>2008 Adopted</t>
  </si>
  <si>
    <t>2008   Forecast</t>
  </si>
  <si>
    <t>2009 Adopted</t>
  </si>
  <si>
    <t>2009 Forecast</t>
  </si>
  <si>
    <t xml:space="preserve">2010 Forecast </t>
  </si>
  <si>
    <t>2011 Forecast</t>
  </si>
  <si>
    <t>2012 Forecast</t>
  </si>
  <si>
    <t>Beginning Fund Balance</t>
  </si>
  <si>
    <t xml:space="preserve">Revenues </t>
  </si>
  <si>
    <t>Total Revenues</t>
  </si>
  <si>
    <t xml:space="preserve">Expenditures </t>
  </si>
  <si>
    <t xml:space="preserve"> </t>
  </si>
  <si>
    <t>Total Expenditures</t>
  </si>
  <si>
    <t>Estimated Underexpenditures</t>
  </si>
  <si>
    <t>Other Fund Transactions</t>
  </si>
  <si>
    <t>Misc Balance Adjustment</t>
  </si>
  <si>
    <t>Transfer from Capital Program</t>
  </si>
  <si>
    <t>Total Other Fund Transactions</t>
  </si>
  <si>
    <t>Ending Fund Balance</t>
  </si>
  <si>
    <t>Reserves &amp; Designations</t>
  </si>
  <si>
    <t xml:space="preserve">  Fare Stabilization &amp; Operating Enhancement</t>
  </si>
  <si>
    <t xml:space="preserve">* </t>
  </si>
  <si>
    <t>Total Reserves &amp; Designations</t>
  </si>
  <si>
    <t>Ending Undesignated Fund Balance</t>
  </si>
  <si>
    <t>Financial Plan Notes:</t>
  </si>
  <si>
    <t>1  2007 Actuals are from the 14th month.</t>
  </si>
  <si>
    <t>2  2008 forecast is updated based on 2007 actuals.</t>
  </si>
  <si>
    <t>3  2009-2014 projections are based on future assumptions concerning service levels and the supporting CIP.</t>
  </si>
  <si>
    <t>4  Target Fund Balance is based on formulae established in the financial policies.</t>
  </si>
  <si>
    <t>5  Bus and ACCESS Fares are increased Feb. 1, 2009.  Youth fare increase delayed to July, 2009.  Fares are also increased in 2011 and 2014.</t>
  </si>
  <si>
    <t>6  The ending fund balance of the operating fund is below target until the balance is restored in 2016.</t>
  </si>
  <si>
    <t>7  The annual contribution to balance the operating fund is the amount necessary to sustain the planned operating program.  The details will be developed by 2011.  The contribution can be met by either increasing revenue and/or reducing  costs.</t>
  </si>
  <si>
    <t>8  The annual increment to rebuild the fund balance is the amount needed annually from 2012 through 2016 to restore the target fund balance.</t>
  </si>
  <si>
    <t>2013 Forecast</t>
  </si>
  <si>
    <t>2014 Projected</t>
  </si>
  <si>
    <t>2008-2014 Total</t>
  </si>
  <si>
    <t>2015 Projected</t>
  </si>
  <si>
    <t>2016 Projected</t>
  </si>
  <si>
    <t>2017 Projected</t>
  </si>
  <si>
    <t xml:space="preserve">Short Term RFRF Loan/Repayment </t>
  </si>
  <si>
    <t xml:space="preserve"> 5</t>
  </si>
  <si>
    <r>
      <t xml:space="preserve">1998    Actual </t>
    </r>
    <r>
      <rPr>
        <b/>
        <vertAlign val="superscript"/>
        <sz val="12"/>
        <rFont val="Times New Roman"/>
        <family val="1"/>
      </rPr>
      <t>1</t>
    </r>
  </si>
  <si>
    <r>
      <t xml:space="preserve">2007      Actual </t>
    </r>
    <r>
      <rPr>
        <b/>
        <vertAlign val="superscript"/>
        <sz val="12"/>
        <rFont val="Times New Roman"/>
        <family val="1"/>
      </rPr>
      <t>1</t>
    </r>
  </si>
  <si>
    <r>
      <t xml:space="preserve">  Fares</t>
    </r>
    <r>
      <rPr>
        <vertAlign val="superscript"/>
        <sz val="12"/>
        <rFont val="Times New Roman"/>
        <family val="1"/>
      </rPr>
      <t xml:space="preserve"> 5</t>
    </r>
  </si>
  <si>
    <r>
      <t xml:space="preserve">Annual Contribution to Balance Operating Fund </t>
    </r>
    <r>
      <rPr>
        <vertAlign val="superscript"/>
        <sz val="12"/>
        <rFont val="Times New Roman"/>
        <family val="1"/>
      </rPr>
      <t>7</t>
    </r>
  </si>
  <si>
    <r>
      <t xml:space="preserve">Annual Increment to Rebuild Target Fund Balance </t>
    </r>
    <r>
      <rPr>
        <vertAlign val="superscript"/>
        <sz val="12"/>
        <rFont val="Times New Roman"/>
        <family val="1"/>
      </rPr>
      <t>8</t>
    </r>
  </si>
  <si>
    <r>
      <t xml:space="preserve">  30 Day Operating Reserve </t>
    </r>
    <r>
      <rPr>
        <vertAlign val="superscript"/>
        <sz val="12"/>
        <rFont val="Times New Roman"/>
        <family val="1"/>
      </rPr>
      <t>6</t>
    </r>
  </si>
  <si>
    <r>
      <t xml:space="preserve">Target Fund Balance </t>
    </r>
    <r>
      <rPr>
        <b/>
        <vertAlign val="superscript"/>
        <sz val="12"/>
        <rFont val="Times New Roman"/>
        <family val="1"/>
      </rPr>
      <t>4</t>
    </r>
  </si>
  <si>
    <r>
      <t>6</t>
    </r>
    <r>
      <rPr>
        <sz val="12"/>
        <rFont val="Times New Roman"/>
        <family val="1"/>
      </rPr>
      <t xml:space="preserve">   Ending fund balances in operating program are below target levels as a result of changes made by the King County Council to revise the timing of service increases.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</si>
</sst>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quot;#,##0"/>
    <numFmt numFmtId="167" formatCode="_(* #,##0.000_);_(* \(#,##0.000\);_(* &quot;-&quot;??_);_(@_)"/>
  </numFmts>
  <fonts count="43">
    <font>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b/>
      <sz val="14"/>
      <name val="Times New Roman"/>
      <family val="1"/>
    </font>
    <font>
      <sz val="14"/>
      <name val="Times New Roman"/>
      <family val="1"/>
    </font>
    <font>
      <b/>
      <vertAlign val="superscript"/>
      <sz val="12"/>
      <name val="Times New Roman"/>
      <family val="1"/>
    </font>
    <font>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37"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37" fontId="4" fillId="0" borderId="0" xfId="58" applyFont="1" applyBorder="1" applyAlignment="1">
      <alignment horizontal="centerContinuous" wrapText="1"/>
      <protection/>
    </xf>
    <xf numFmtId="38" fontId="3" fillId="0" borderId="0" xfId="58" applyNumberFormat="1" applyFont="1" applyBorder="1" applyAlignment="1">
      <alignment horizontal="centerContinuous" wrapText="1"/>
      <protection/>
    </xf>
    <xf numFmtId="38" fontId="4" fillId="0" borderId="0" xfId="58" applyNumberFormat="1" applyFont="1" applyBorder="1" applyAlignment="1">
      <alignment horizontal="centerContinuous" wrapText="1"/>
      <protection/>
    </xf>
    <xf numFmtId="0" fontId="4" fillId="0" borderId="0" xfId="57" applyFont="1" applyBorder="1">
      <alignment/>
      <protection/>
    </xf>
    <xf numFmtId="0" fontId="3" fillId="0" borderId="0" xfId="57" applyFont="1" applyBorder="1">
      <alignment/>
      <protection/>
    </xf>
    <xf numFmtId="37" fontId="5" fillId="0" borderId="0" xfId="58" applyFont="1" applyBorder="1" applyAlignment="1">
      <alignment horizontal="centerContinuous" wrapText="1"/>
      <protection/>
    </xf>
    <xf numFmtId="38" fontId="6" fillId="0" borderId="0" xfId="58" applyNumberFormat="1" applyFont="1" applyBorder="1" applyAlignment="1">
      <alignment horizontal="centerContinuous" wrapText="1"/>
      <protection/>
    </xf>
    <xf numFmtId="38" fontId="5" fillId="0" borderId="0" xfId="58" applyNumberFormat="1" applyFont="1" applyBorder="1" applyAlignment="1">
      <alignment horizontal="centerContinuous" wrapText="1"/>
      <protection/>
    </xf>
    <xf numFmtId="0" fontId="5" fillId="0" borderId="0" xfId="57" applyFont="1" applyBorder="1">
      <alignment/>
      <protection/>
    </xf>
    <xf numFmtId="0" fontId="6" fillId="0" borderId="0" xfId="57" applyFont="1" applyBorder="1">
      <alignment/>
      <protection/>
    </xf>
    <xf numFmtId="37" fontId="5" fillId="0" borderId="0" xfId="58" applyFont="1" applyFill="1" applyBorder="1" applyAlignment="1">
      <alignment horizontal="centerContinuous" wrapText="1"/>
      <protection/>
    </xf>
    <xf numFmtId="38" fontId="6" fillId="0" borderId="0" xfId="58" applyNumberFormat="1" applyFont="1" applyFill="1" applyBorder="1" applyAlignment="1">
      <alignment horizontal="centerContinuous" wrapText="1"/>
      <protection/>
    </xf>
    <xf numFmtId="38" fontId="5" fillId="0" borderId="0" xfId="58" applyNumberFormat="1" applyFont="1" applyFill="1" applyBorder="1" applyAlignment="1">
      <alignment horizontal="centerContinuous" wrapText="1"/>
      <protection/>
    </xf>
    <xf numFmtId="0" fontId="5" fillId="0" borderId="0" xfId="57" applyFont="1" applyFill="1" applyBorder="1">
      <alignment/>
      <protection/>
    </xf>
    <xf numFmtId="0" fontId="6" fillId="0" borderId="0" xfId="57" applyFont="1" applyFill="1" applyBorder="1">
      <alignment/>
      <protection/>
    </xf>
    <xf numFmtId="37" fontId="5" fillId="0" borderId="0" xfId="58" applyFont="1" applyBorder="1" applyAlignment="1">
      <alignment horizontal="right" wrapText="1"/>
      <protection/>
    </xf>
    <xf numFmtId="38" fontId="3" fillId="0" borderId="0" xfId="58" applyNumberFormat="1" applyFont="1">
      <alignment/>
      <protection/>
    </xf>
    <xf numFmtId="0" fontId="4" fillId="0" borderId="0" xfId="57" applyFont="1">
      <alignment/>
      <protection/>
    </xf>
    <xf numFmtId="0" fontId="3" fillId="0" borderId="0" xfId="57" applyFont="1">
      <alignment/>
      <protection/>
    </xf>
    <xf numFmtId="37" fontId="4" fillId="0" borderId="10" xfId="58" applyFont="1" applyFill="1" applyBorder="1" applyAlignment="1" quotePrefix="1">
      <alignment horizontal="center" wrapText="1"/>
      <protection/>
    </xf>
    <xf numFmtId="38" fontId="4" fillId="0" borderId="10" xfId="58" applyNumberFormat="1" applyFont="1" applyFill="1" applyBorder="1" applyAlignment="1">
      <alignment horizontal="centerContinuous" wrapText="1"/>
      <protection/>
    </xf>
    <xf numFmtId="0" fontId="3" fillId="0" borderId="0" xfId="57" applyFont="1" applyFill="1">
      <alignment/>
      <protection/>
    </xf>
    <xf numFmtId="37" fontId="4" fillId="0" borderId="11" xfId="58" applyFont="1" applyBorder="1" applyAlignment="1" quotePrefix="1">
      <alignment horizontal="left"/>
      <protection/>
    </xf>
    <xf numFmtId="38" fontId="3" fillId="0" borderId="11" xfId="42" applyNumberFormat="1" applyFont="1" applyBorder="1" applyAlignment="1">
      <alignment/>
    </xf>
    <xf numFmtId="38" fontId="4" fillId="0" borderId="11" xfId="42" applyNumberFormat="1" applyFont="1" applyBorder="1" applyAlignment="1">
      <alignment/>
    </xf>
    <xf numFmtId="37" fontId="4" fillId="0" borderId="12" xfId="58" applyFont="1" applyBorder="1" applyAlignment="1" quotePrefix="1">
      <alignment horizontal="left"/>
      <protection/>
    </xf>
    <xf numFmtId="38" fontId="3" fillId="0" borderId="13" xfId="42" applyNumberFormat="1" applyFont="1" applyBorder="1" applyAlignment="1">
      <alignment/>
    </xf>
    <xf numFmtId="38" fontId="4" fillId="0" borderId="13" xfId="42" applyNumberFormat="1" applyFont="1" applyBorder="1" applyAlignment="1">
      <alignment/>
    </xf>
    <xf numFmtId="37" fontId="3" fillId="0" borderId="12" xfId="58" applyFont="1" applyBorder="1" applyAlignment="1">
      <alignment horizontal="left"/>
      <protection/>
    </xf>
    <xf numFmtId="37" fontId="3" fillId="0" borderId="12" xfId="58" applyFont="1" applyBorder="1" applyAlignment="1">
      <alignment horizontal="right"/>
      <protection/>
    </xf>
    <xf numFmtId="37" fontId="4" fillId="0" borderId="12" xfId="58" applyFont="1" applyBorder="1" applyAlignment="1">
      <alignment horizontal="right"/>
      <protection/>
    </xf>
    <xf numFmtId="37" fontId="4" fillId="0" borderId="11" xfId="58" applyFont="1" applyBorder="1" applyAlignment="1">
      <alignment horizontal="left"/>
      <protection/>
    </xf>
    <xf numFmtId="38" fontId="3" fillId="0" borderId="11" xfId="42" applyNumberFormat="1" applyFont="1" applyBorder="1" applyAlignment="1">
      <alignment/>
    </xf>
    <xf numFmtId="37" fontId="4" fillId="0" borderId="11" xfId="58" applyFont="1" applyBorder="1" applyAlignment="1">
      <alignment horizontal="right"/>
      <protection/>
    </xf>
    <xf numFmtId="38" fontId="3" fillId="0" borderId="14" xfId="42" applyNumberFormat="1" applyFont="1" applyBorder="1" applyAlignment="1">
      <alignment/>
    </xf>
    <xf numFmtId="0" fontId="4" fillId="0" borderId="15" xfId="57" applyFont="1" applyBorder="1">
      <alignment/>
      <protection/>
    </xf>
    <xf numFmtId="38" fontId="3" fillId="33" borderId="11" xfId="42" applyNumberFormat="1" applyFont="1" applyFill="1" applyBorder="1" applyAlignment="1">
      <alignment/>
    </xf>
    <xf numFmtId="38" fontId="3" fillId="0" borderId="10" xfId="42" applyNumberFormat="1" applyFont="1" applyFill="1" applyBorder="1" applyAlignment="1">
      <alignment/>
    </xf>
    <xf numFmtId="37" fontId="4" fillId="0" borderId="10" xfId="58" applyFont="1" applyBorder="1" applyAlignment="1">
      <alignment horizontal="right"/>
      <protection/>
    </xf>
    <xf numFmtId="37" fontId="4" fillId="0" borderId="16" xfId="58" applyFont="1" applyBorder="1" applyAlignment="1">
      <alignment horizontal="left"/>
      <protection/>
    </xf>
    <xf numFmtId="38" fontId="3" fillId="0" borderId="12" xfId="42" applyNumberFormat="1" applyFont="1" applyFill="1" applyBorder="1" applyAlignment="1">
      <alignment/>
    </xf>
    <xf numFmtId="38" fontId="3" fillId="0" borderId="13" xfId="42" applyNumberFormat="1" applyFont="1" applyFill="1" applyBorder="1" applyAlignment="1">
      <alignment/>
    </xf>
    <xf numFmtId="37" fontId="3" fillId="0" borderId="14" xfId="57" applyNumberFormat="1" applyFont="1" applyBorder="1">
      <alignment/>
      <protection/>
    </xf>
    <xf numFmtId="38" fontId="3" fillId="0" borderId="0" xfId="57" applyNumberFormat="1" applyFont="1">
      <alignment/>
      <protection/>
    </xf>
    <xf numFmtId="37" fontId="3" fillId="0" borderId="16" xfId="58" applyFont="1" applyBorder="1" applyAlignment="1">
      <alignment horizontal="right"/>
      <protection/>
    </xf>
    <xf numFmtId="37" fontId="3" fillId="0" borderId="16" xfId="58" applyFont="1" applyBorder="1" applyAlignment="1">
      <alignment horizontal="left"/>
      <protection/>
    </xf>
    <xf numFmtId="37" fontId="3" fillId="0" borderId="16" xfId="58" applyFont="1" applyBorder="1" applyAlignment="1">
      <alignment/>
      <protection/>
    </xf>
    <xf numFmtId="37" fontId="4" fillId="0" borderId="15" xfId="58" applyFont="1" applyBorder="1" applyAlignment="1" quotePrefix="1">
      <alignment horizontal="left"/>
      <protection/>
    </xf>
    <xf numFmtId="38" fontId="3" fillId="0" borderId="11" xfId="57" applyNumberFormat="1" applyFont="1" applyBorder="1">
      <alignment/>
      <protection/>
    </xf>
    <xf numFmtId="37" fontId="4" fillId="0" borderId="15" xfId="58" applyFont="1" applyBorder="1" applyAlignment="1" quotePrefix="1">
      <alignment horizontal="left"/>
      <protection/>
    </xf>
    <xf numFmtId="38" fontId="3" fillId="0" borderId="12" xfId="42" applyNumberFormat="1" applyFont="1" applyBorder="1" applyAlignment="1">
      <alignment/>
    </xf>
    <xf numFmtId="38" fontId="3" fillId="0" borderId="16" xfId="42" applyNumberFormat="1" applyFont="1" applyBorder="1" applyAlignment="1">
      <alignment/>
    </xf>
    <xf numFmtId="0" fontId="4" fillId="0" borderId="16" xfId="57" applyFont="1" applyBorder="1">
      <alignment/>
      <protection/>
    </xf>
    <xf numFmtId="164" fontId="3" fillId="0" borderId="14" xfId="42" applyNumberFormat="1" applyFont="1" applyBorder="1" applyAlignment="1">
      <alignment/>
    </xf>
    <xf numFmtId="164" fontId="4" fillId="0" borderId="12" xfId="57" applyNumberFormat="1" applyFont="1" applyBorder="1">
      <alignment/>
      <protection/>
    </xf>
    <xf numFmtId="167" fontId="3" fillId="0" borderId="14" xfId="42" applyNumberFormat="1" applyFont="1" applyBorder="1" applyAlignment="1">
      <alignment/>
    </xf>
    <xf numFmtId="164" fontId="3" fillId="0" borderId="12" xfId="42" applyNumberFormat="1" applyFont="1" applyBorder="1" applyAlignment="1">
      <alignment/>
    </xf>
    <xf numFmtId="37" fontId="4" fillId="0" borderId="11" xfId="58" applyFont="1" applyBorder="1" applyAlignment="1">
      <alignment horizontal="left"/>
      <protection/>
    </xf>
    <xf numFmtId="164" fontId="3" fillId="0" borderId="11" xfId="42" applyNumberFormat="1" applyFont="1" applyBorder="1" applyAlignment="1">
      <alignment/>
    </xf>
    <xf numFmtId="37" fontId="3" fillId="0" borderId="0" xfId="58" applyFont="1" applyBorder="1" applyAlignment="1">
      <alignment horizontal="left"/>
      <protection/>
    </xf>
    <xf numFmtId="38" fontId="3" fillId="0" borderId="0" xfId="42" applyNumberFormat="1" applyFont="1" applyBorder="1" applyAlignment="1">
      <alignment/>
    </xf>
    <xf numFmtId="37" fontId="4" fillId="0" borderId="17" xfId="58" applyFont="1" applyBorder="1" applyAlignment="1" quotePrefix="1">
      <alignment horizontal="left"/>
      <protection/>
    </xf>
    <xf numFmtId="38" fontId="4" fillId="0" borderId="10" xfId="42" applyNumberFormat="1" applyFont="1" applyBorder="1" applyAlignment="1">
      <alignment horizontal="right"/>
    </xf>
    <xf numFmtId="38" fontId="4" fillId="0" borderId="10" xfId="57" applyNumberFormat="1" applyFont="1" applyBorder="1">
      <alignment/>
      <protection/>
    </xf>
    <xf numFmtId="37" fontId="3" fillId="0" borderId="0" xfId="58" applyFont="1">
      <alignment/>
      <protection/>
    </xf>
    <xf numFmtId="38" fontId="3" fillId="0" borderId="0" xfId="58" applyNumberFormat="1" applyFont="1" applyBorder="1">
      <alignment/>
      <protection/>
    </xf>
    <xf numFmtId="37" fontId="4" fillId="0" borderId="0" xfId="58" applyFont="1" applyAlignment="1">
      <alignment horizontal="left"/>
      <protection/>
    </xf>
    <xf numFmtId="38" fontId="4" fillId="0" borderId="0" xfId="57" applyNumberFormat="1" applyFont="1">
      <alignment/>
      <protection/>
    </xf>
    <xf numFmtId="37" fontId="8" fillId="0" borderId="0" xfId="58" applyFont="1" applyBorder="1" applyAlignment="1">
      <alignment horizontal="left"/>
      <protection/>
    </xf>
    <xf numFmtId="37" fontId="8" fillId="0" borderId="0" xfId="58" applyFont="1" applyBorder="1" applyAlignment="1">
      <alignment horizontal="left" vertical="top"/>
      <protection/>
    </xf>
    <xf numFmtId="38" fontId="3" fillId="0" borderId="0" xfId="57" applyNumberFormat="1" applyFont="1" applyAlignment="1">
      <alignment horizontal="centerContinuous" wrapText="1"/>
      <protection/>
    </xf>
    <xf numFmtId="0" fontId="8" fillId="0" borderId="0" xfId="57" applyFont="1" applyAlignment="1">
      <alignment horizontal="left"/>
      <protection/>
    </xf>
    <xf numFmtId="38" fontId="3" fillId="0" borderId="0" xfId="58" applyNumberFormat="1" applyFont="1" applyBorder="1" applyAlignment="1">
      <alignment horizontal="left" vertical="top"/>
      <protection/>
    </xf>
    <xf numFmtId="0" fontId="8" fillId="0" borderId="0" xfId="57" applyFont="1" applyAlignment="1" quotePrefix="1">
      <alignment horizontal="left"/>
      <protection/>
    </xf>
    <xf numFmtId="38" fontId="3" fillId="0" borderId="0" xfId="57" applyNumberFormat="1" applyFont="1" applyAlignment="1">
      <alignment horizontal="right"/>
      <protection/>
    </xf>
    <xf numFmtId="38" fontId="3" fillId="0" borderId="0" xfId="57" applyNumberFormat="1" applyFont="1" applyAlignment="1">
      <alignment horizontal="center"/>
      <protection/>
    </xf>
    <xf numFmtId="0" fontId="3" fillId="0" borderId="0" xfId="57" applyFont="1" applyAlignment="1">
      <alignment horizontal="right"/>
      <protection/>
    </xf>
    <xf numFmtId="38" fontId="8" fillId="0" borderId="0" xfId="57" applyNumberFormat="1" applyFont="1" applyAlignment="1" quotePrefix="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0budforms" xfId="57"/>
    <cellStyle name="Normal_AIRPLAN.XL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09TR\09FORM5vCF09P008v01%20Adop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5- PTF diff frm TR 0809 Ad"/>
      <sheetName val="Form5- Op diff frmTR 0809 Adop"/>
      <sheetName val="Form5- Cap diff frm TR 0809 Ad"/>
      <sheetName val="Form5-RFRF diff frm 06 TR Adop"/>
      <sheetName val="Form5- PTF diff 07 EX Prop"/>
      <sheetName val="Form5- Op diff 07 TR Oper"/>
      <sheetName val="Form5- Cap diff 07 TR Prop"/>
      <sheetName val="Form5-RFRF diff 07 TR Prop"/>
      <sheetName val="Form5-RFRF Diff from 08 Adted"/>
      <sheetName val="Form5- PTF V06 vs V05"/>
      <sheetName val="Form5- Operating V06 vs V05"/>
      <sheetName val="Form5- Capital V06 vs V05"/>
      <sheetName val="Form5-RFRF V06 vs V05"/>
      <sheetName val="Data -CF09P008v01 Adopted"/>
      <sheetName val="Form5- PTF"/>
      <sheetName val="Form5- Operating"/>
      <sheetName val="Form5- Capital"/>
      <sheetName val="Form5-RFRF"/>
      <sheetName val="Form5-CBL"/>
    </sheetNames>
    <sheetDataSet>
      <sheetData sheetId="13">
        <row r="78">
          <cell r="C78">
            <v>38600</v>
          </cell>
          <cell r="D78">
            <v>41900</v>
          </cell>
          <cell r="E78">
            <v>43532.89232725009</v>
          </cell>
          <cell r="F78">
            <v>44700</v>
          </cell>
          <cell r="G78">
            <v>41080.208469559315</v>
          </cell>
          <cell r="H78">
            <v>34765.563604701536</v>
          </cell>
          <cell r="I78">
            <v>13328.401293959112</v>
          </cell>
          <cell r="J78">
            <v>-0.00022669974714517593</v>
          </cell>
          <cell r="K78">
            <v>13505.111220778897</v>
          </cell>
          <cell r="L78">
            <v>27419.04210772959</v>
          </cell>
          <cell r="M78">
            <v>42193.63552387862</v>
          </cell>
          <cell r="N78">
            <v>57758.149539807</v>
          </cell>
          <cell r="O78">
            <v>74081.30278870487</v>
          </cell>
        </row>
        <row r="79">
          <cell r="C79">
            <v>9160.928861250082</v>
          </cell>
          <cell r="D79">
            <v>4115.136038820376</v>
          </cell>
          <cell r="E79">
            <v>15641.628000000004</v>
          </cell>
          <cell r="F79">
            <v>0.00024211197160184383</v>
          </cell>
          <cell r="G79">
            <v>0</v>
          </cell>
          <cell r="H79">
            <v>0</v>
          </cell>
          <cell r="I79">
            <v>0</v>
          </cell>
          <cell r="J79">
            <v>0</v>
          </cell>
          <cell r="K79">
            <v>0</v>
          </cell>
          <cell r="L79">
            <v>0</v>
          </cell>
          <cell r="M79">
            <v>0</v>
          </cell>
          <cell r="N79">
            <v>0</v>
          </cell>
          <cell r="O79">
            <v>0</v>
          </cell>
        </row>
        <row r="81">
          <cell r="C81">
            <v>78208.14</v>
          </cell>
          <cell r="D81">
            <v>87301.196</v>
          </cell>
          <cell r="E81">
            <v>90490.553</v>
          </cell>
          <cell r="F81">
            <v>92484.318</v>
          </cell>
          <cell r="G81">
            <v>104380.666</v>
          </cell>
          <cell r="H81">
            <v>120283.842408</v>
          </cell>
          <cell r="I81">
            <v>134245.36342742402</v>
          </cell>
          <cell r="J81">
            <v>139054.2464553919</v>
          </cell>
          <cell r="K81">
            <v>141108.89793614286</v>
          </cell>
          <cell r="L81">
            <v>155017.97039035484</v>
          </cell>
          <cell r="M81">
            <v>160687.8884452848</v>
          </cell>
          <cell r="N81">
            <v>164000.28786575273</v>
          </cell>
          <cell r="O81">
            <v>179610.4295859938</v>
          </cell>
        </row>
        <row r="82">
          <cell r="A82" t="str">
            <v>  Other Operations Revenue</v>
          </cell>
          <cell r="C82">
            <v>14929.342</v>
          </cell>
          <cell r="D82">
            <v>13521.047380718614</v>
          </cell>
          <cell r="E82">
            <v>14284.731360309293</v>
          </cell>
          <cell r="F82">
            <v>15009.600662697656</v>
          </cell>
          <cell r="G82">
            <v>18992.93824730459</v>
          </cell>
          <cell r="H82">
            <v>21900.12219211624</v>
          </cell>
          <cell r="I82">
            <v>23211.218284178678</v>
          </cell>
          <cell r="J82">
            <v>25096.087049904687</v>
          </cell>
          <cell r="K82">
            <v>25990.53434274953</v>
          </cell>
          <cell r="L82">
            <v>27729.95504976224</v>
          </cell>
          <cell r="M82">
            <v>28127.107046233174</v>
          </cell>
          <cell r="N82">
            <v>30076.267360653885</v>
          </cell>
          <cell r="O82">
            <v>30881.59736097426</v>
          </cell>
        </row>
        <row r="83">
          <cell r="A83" t="str">
            <v>  Sales Tax </v>
          </cell>
          <cell r="C83">
            <v>321946.649</v>
          </cell>
          <cell r="D83">
            <v>348637.05</v>
          </cell>
          <cell r="E83">
            <v>338593.373</v>
          </cell>
          <cell r="F83">
            <v>369770.034</v>
          </cell>
          <cell r="G83">
            <v>331971.162</v>
          </cell>
          <cell r="H83">
            <v>342864.869</v>
          </cell>
          <cell r="I83">
            <v>358592.525</v>
          </cell>
          <cell r="J83">
            <v>376704.779</v>
          </cell>
          <cell r="K83">
            <v>397988.46599999996</v>
          </cell>
          <cell r="L83">
            <v>420474.6176214094</v>
          </cell>
          <cell r="M83">
            <v>444231.75095943204</v>
          </cell>
          <cell r="N83">
            <v>469330.64499117807</v>
          </cell>
          <cell r="O83">
            <v>495847.34746864846</v>
          </cell>
        </row>
        <row r="84">
          <cell r="A84" t="str">
            <v>  Motor Vehicle Excise Tax</v>
          </cell>
          <cell r="C84">
            <v>0</v>
          </cell>
          <cell r="D84">
            <v>0</v>
          </cell>
          <cell r="E84">
            <v>0</v>
          </cell>
          <cell r="F84">
            <v>0</v>
          </cell>
          <cell r="G84">
            <v>0</v>
          </cell>
          <cell r="H84">
            <v>0</v>
          </cell>
          <cell r="I84">
            <v>0</v>
          </cell>
          <cell r="J84">
            <v>0</v>
          </cell>
          <cell r="K84">
            <v>0</v>
          </cell>
          <cell r="M84">
            <v>0</v>
          </cell>
          <cell r="N84">
            <v>0</v>
          </cell>
          <cell r="O84">
            <v>0</v>
          </cell>
          <cell r="P84">
            <v>0</v>
          </cell>
        </row>
        <row r="85">
          <cell r="A85" t="str">
            <v>  State Interim Financing</v>
          </cell>
          <cell r="C85">
            <v>0</v>
          </cell>
          <cell r="D85">
            <v>0</v>
          </cell>
          <cell r="E85">
            <v>0</v>
          </cell>
          <cell r="F85">
            <v>0</v>
          </cell>
          <cell r="G85">
            <v>0</v>
          </cell>
          <cell r="H85">
            <v>0</v>
          </cell>
          <cell r="I85">
            <v>0</v>
          </cell>
          <cell r="J85">
            <v>0</v>
          </cell>
          <cell r="K85">
            <v>0</v>
          </cell>
          <cell r="M85">
            <v>0</v>
          </cell>
          <cell r="N85">
            <v>0</v>
          </cell>
          <cell r="O85">
            <v>0</v>
          </cell>
          <cell r="P85">
            <v>0</v>
          </cell>
        </row>
        <row r="86">
          <cell r="A86" t="str">
            <v>  FTA Section 9 (Operating)</v>
          </cell>
          <cell r="C86">
            <v>0</v>
          </cell>
          <cell r="D86">
            <v>0</v>
          </cell>
          <cell r="E86">
            <v>0</v>
          </cell>
          <cell r="F86">
            <v>0</v>
          </cell>
          <cell r="G86">
            <v>0</v>
          </cell>
          <cell r="H86">
            <v>0</v>
          </cell>
          <cell r="I86">
            <v>0</v>
          </cell>
          <cell r="J86">
            <v>0</v>
          </cell>
          <cell r="K86">
            <v>0</v>
          </cell>
          <cell r="M86">
            <v>0</v>
          </cell>
          <cell r="N86">
            <v>0</v>
          </cell>
          <cell r="O86">
            <v>0</v>
          </cell>
          <cell r="P86">
            <v>0</v>
          </cell>
        </row>
        <row r="87">
          <cell r="A87" t="str">
            <v>  Payments from ST; Roads, Fleet, Airport</v>
          </cell>
          <cell r="C87">
            <v>43205.909</v>
          </cell>
          <cell r="D87">
            <v>49580.95373999998</v>
          </cell>
          <cell r="E87">
            <v>49917.07786999999</v>
          </cell>
          <cell r="F87">
            <v>66196.36625510252</v>
          </cell>
          <cell r="G87">
            <v>68795.74121998165</v>
          </cell>
          <cell r="H87">
            <v>74965.26121164524</v>
          </cell>
          <cell r="I87">
            <v>78767.09103664328</v>
          </cell>
          <cell r="J87">
            <v>81668.84544874133</v>
          </cell>
          <cell r="K87">
            <v>84365.45300037807</v>
          </cell>
          <cell r="L87">
            <v>87368.27725146065</v>
          </cell>
          <cell r="M87">
            <v>90516.54993757357</v>
          </cell>
          <cell r="N87">
            <v>94012.84614289762</v>
          </cell>
          <cell r="O87">
            <v>97280.21447797073</v>
          </cell>
        </row>
        <row r="88">
          <cell r="A88" t="str">
            <v>  Interest</v>
          </cell>
          <cell r="C88">
            <v>2787.938</v>
          </cell>
          <cell r="D88">
            <v>2099.392</v>
          </cell>
          <cell r="E88">
            <v>1338.42</v>
          </cell>
          <cell r="F88">
            <v>2092.236</v>
          </cell>
          <cell r="G88">
            <v>544.066</v>
          </cell>
          <cell r="H88">
            <v>489.39660938474725</v>
          </cell>
          <cell r="I88">
            <v>-224.3562634140335</v>
          </cell>
          <cell r="J88">
            <v>-672.1034225621585</v>
          </cell>
          <cell r="K88">
            <v>-400.2930796770964</v>
          </cell>
          <cell r="L88">
            <v>83.62699127566768</v>
          </cell>
          <cell r="M88">
            <v>701.7253653188596</v>
          </cell>
          <cell r="N88">
            <v>1391.1799172363242</v>
          </cell>
          <cell r="O88">
            <v>2090.836454379882</v>
          </cell>
        </row>
        <row r="89">
          <cell r="A89" t="str">
            <v>  Miscellaneous</v>
          </cell>
          <cell r="C89">
            <v>8883.352</v>
          </cell>
          <cell r="D89">
            <v>11693.91776257296</v>
          </cell>
          <cell r="E89">
            <v>11760.934502</v>
          </cell>
          <cell r="F89">
            <v>14572.929255725001</v>
          </cell>
          <cell r="G89">
            <v>14094.152907856</v>
          </cell>
          <cell r="H89">
            <v>22969.822949275967</v>
          </cell>
          <cell r="I89">
            <v>29752.91474585569</v>
          </cell>
          <cell r="J89">
            <v>30568.097160379653</v>
          </cell>
          <cell r="K89">
            <v>22827.627363908286</v>
          </cell>
          <cell r="L89">
            <v>22487.853401520246</v>
          </cell>
          <cell r="M89">
            <v>23145.5103279811</v>
          </cell>
          <cell r="N89">
            <v>23781.428212209437</v>
          </cell>
          <cell r="O89">
            <v>24478.85749664667</v>
          </cell>
        </row>
        <row r="93">
          <cell r="C93">
            <v>46134.85</v>
          </cell>
          <cell r="D93">
            <v>25499</v>
          </cell>
          <cell r="E93">
            <v>25499</v>
          </cell>
          <cell r="F93">
            <v>35577</v>
          </cell>
          <cell r="G93">
            <v>48377</v>
          </cell>
          <cell r="H93">
            <v>36491</v>
          </cell>
          <cell r="I93">
            <v>26802</v>
          </cell>
          <cell r="J93">
            <v>42983</v>
          </cell>
          <cell r="K93">
            <v>49130</v>
          </cell>
          <cell r="L93">
            <v>48561</v>
          </cell>
          <cell r="M93">
            <v>55445.5</v>
          </cell>
          <cell r="N93">
            <v>61368</v>
          </cell>
          <cell r="O93">
            <v>47395</v>
          </cell>
        </row>
        <row r="97">
          <cell r="C97">
            <v>4.08605600000044</v>
          </cell>
          <cell r="D97">
            <v>0</v>
          </cell>
          <cell r="E97">
            <v>-1004.9</v>
          </cell>
          <cell r="F97">
            <v>0</v>
          </cell>
          <cell r="G97">
            <v>0</v>
          </cell>
          <cell r="H97">
            <v>0</v>
          </cell>
          <cell r="I97">
            <v>23990.517</v>
          </cell>
          <cell r="J97">
            <v>51873</v>
          </cell>
          <cell r="K97">
            <v>59998</v>
          </cell>
          <cell r="L97">
            <v>57788</v>
          </cell>
          <cell r="M97">
            <v>61913</v>
          </cell>
          <cell r="N97">
            <v>64422</v>
          </cell>
          <cell r="O97">
            <v>54617</v>
          </cell>
        </row>
        <row r="102">
          <cell r="A102" t="str">
            <v>  Transit </v>
          </cell>
          <cell r="C102">
            <v>-499057.73202</v>
          </cell>
          <cell r="D102">
            <v>-538444.569</v>
          </cell>
          <cell r="E102">
            <v>-547599.443</v>
          </cell>
          <cell r="F102">
            <v>-590382.297</v>
          </cell>
          <cell r="G102">
            <v>-592214.62</v>
          </cell>
          <cell r="H102">
            <v>-641338.737107924</v>
          </cell>
          <cell r="I102">
            <v>-688695.1679319044</v>
          </cell>
          <cell r="J102">
            <v>-734269.6696036874</v>
          </cell>
          <cell r="K102">
            <v>-767736.625307471</v>
          </cell>
          <cell r="L102">
            <v>-805559.8159495547</v>
          </cell>
          <cell r="M102">
            <v>-850272.2412730628</v>
          </cell>
          <cell r="N102">
            <v>-893349.8202603146</v>
          </cell>
          <cell r="O102">
            <v>-930029.4796076873</v>
          </cell>
        </row>
        <row r="103">
          <cell r="A103" t="str">
            <v>  Transportation Administration</v>
          </cell>
          <cell r="C103">
            <v>-5628.94257</v>
          </cell>
          <cell r="D103">
            <v>-5888.863</v>
          </cell>
          <cell r="E103">
            <v>-6153.998</v>
          </cell>
          <cell r="F103">
            <v>-6069.211</v>
          </cell>
          <cell r="G103">
            <v>-6324.656</v>
          </cell>
          <cell r="H103">
            <v>-6541.542368</v>
          </cell>
          <cell r="I103">
            <v>-6724.7055543040005</v>
          </cell>
          <cell r="J103">
            <v>-6912.997309824513</v>
          </cell>
          <cell r="K103">
            <v>-7106.561234499599</v>
          </cell>
          <cell r="L103">
            <v>-7305.544949065587</v>
          </cell>
          <cell r="M103">
            <v>-7510.100207639424</v>
          </cell>
          <cell r="N103">
            <v>-7720.383013453328</v>
          </cell>
          <cell r="O103">
            <v>-7936.553737830021</v>
          </cell>
        </row>
        <row r="104">
          <cell r="A104" t="str">
            <v>  Transportation Planning</v>
          </cell>
          <cell r="C104">
            <v>0</v>
          </cell>
          <cell r="D104">
            <v>0</v>
          </cell>
          <cell r="E104">
            <v>0</v>
          </cell>
          <cell r="F104">
            <v>0</v>
          </cell>
          <cell r="G104">
            <v>0</v>
          </cell>
          <cell r="H104">
            <v>0</v>
          </cell>
          <cell r="I104">
            <v>0</v>
          </cell>
          <cell r="J104">
            <v>0</v>
          </cell>
          <cell r="K104">
            <v>0</v>
          </cell>
          <cell r="M104">
            <v>0</v>
          </cell>
          <cell r="N104">
            <v>0</v>
          </cell>
          <cell r="O104">
            <v>0</v>
          </cell>
          <cell r="P104">
            <v>0</v>
          </cell>
        </row>
        <row r="108">
          <cell r="C108">
            <v>0</v>
          </cell>
          <cell r="D108">
            <v>4685.739320000001</v>
          </cell>
          <cell r="E108">
            <v>4779.93941</v>
          </cell>
          <cell r="F108">
            <v>5048.02708</v>
          </cell>
          <cell r="G108">
            <v>5068.904759999999</v>
          </cell>
          <cell r="H108">
            <v>6478.80279475924</v>
          </cell>
          <cell r="I108">
            <v>6954.198734862084</v>
          </cell>
          <cell r="J108">
            <v>7411.826669135119</v>
          </cell>
          <cell r="K108">
            <v>7748.431865419706</v>
          </cell>
          <cell r="L108">
            <v>8128.653608986202</v>
          </cell>
          <cell r="M108">
            <v>8577.823414807022</v>
          </cell>
          <cell r="N108">
            <v>9010.70203273768</v>
          </cell>
          <cell r="O108">
            <v>9379.660333455175</v>
          </cell>
        </row>
        <row r="109">
          <cell r="C109">
            <v>-504686.67459</v>
          </cell>
        </row>
        <row r="116">
          <cell r="C116">
            <v>15641.628000000004</v>
          </cell>
          <cell r="D116">
            <v>0.00024211197160184383</v>
          </cell>
          <cell r="E116">
            <v>0</v>
          </cell>
          <cell r="F116">
            <v>0</v>
          </cell>
          <cell r="G116">
            <v>0</v>
          </cell>
          <cell r="H116">
            <v>0</v>
          </cell>
          <cell r="I116">
            <v>0</v>
          </cell>
          <cell r="J116">
            <v>0</v>
          </cell>
          <cell r="K116">
            <v>0</v>
          </cell>
          <cell r="M116">
            <v>0</v>
          </cell>
          <cell r="N116">
            <v>0</v>
          </cell>
          <cell r="O116">
            <v>0</v>
          </cell>
          <cell r="P1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zoomScalePageLayoutView="0" workbookViewId="0" topLeftCell="A1">
      <selection activeCell="A1" sqref="A1"/>
    </sheetView>
  </sheetViews>
  <sheetFormatPr defaultColWidth="8.8515625" defaultRowHeight="12.75"/>
  <cols>
    <col min="1" max="1" width="45.28125" style="77" customWidth="1"/>
    <col min="2" max="2" width="12.7109375" style="75" hidden="1" customWidth="1"/>
    <col min="3" max="3" width="12.7109375" style="75" customWidth="1"/>
    <col min="4" max="4" width="11.8515625" style="76" customWidth="1"/>
    <col min="5" max="5" width="12.7109375" style="76" customWidth="1"/>
    <col min="6" max="6" width="11.7109375" style="44" customWidth="1"/>
    <col min="7" max="7" width="12.140625" style="44" customWidth="1"/>
    <col min="8" max="8" width="11.8515625" style="44" customWidth="1"/>
    <col min="9" max="11" width="12.00390625" style="44" customWidth="1"/>
    <col min="12" max="12" width="12.7109375" style="44" customWidth="1"/>
    <col min="13" max="13" width="13.421875" style="18" hidden="1" customWidth="1"/>
    <col min="14" max="16" width="12.7109375" style="44" hidden="1" customWidth="1"/>
    <col min="17" max="16384" width="8.8515625" style="19" customWidth="1"/>
  </cols>
  <sheetData>
    <row r="1" spans="1:16" s="5" customFormat="1" ht="15.75">
      <c r="A1" s="1" t="s">
        <v>0</v>
      </c>
      <c r="B1" s="2"/>
      <c r="C1" s="2"/>
      <c r="D1" s="3"/>
      <c r="E1" s="2"/>
      <c r="F1" s="2"/>
      <c r="G1" s="2"/>
      <c r="H1" s="2"/>
      <c r="I1" s="2"/>
      <c r="J1" s="2"/>
      <c r="K1" s="2"/>
      <c r="L1" s="2"/>
      <c r="M1" s="4"/>
      <c r="N1" s="2"/>
      <c r="O1" s="2"/>
      <c r="P1" s="2"/>
    </row>
    <row r="2" spans="1:16" s="10" customFormat="1" ht="18.75">
      <c r="A2" s="6" t="s">
        <v>1</v>
      </c>
      <c r="B2" s="7"/>
      <c r="C2" s="7"/>
      <c r="D2" s="8"/>
      <c r="E2" s="7"/>
      <c r="F2" s="7"/>
      <c r="G2" s="7"/>
      <c r="H2" s="7"/>
      <c r="I2" s="7"/>
      <c r="J2" s="7"/>
      <c r="K2" s="7"/>
      <c r="L2" s="7"/>
      <c r="M2" s="9"/>
      <c r="N2" s="7"/>
      <c r="O2" s="7"/>
      <c r="P2" s="7"/>
    </row>
    <row r="3" spans="1:16" s="15" customFormat="1" ht="18.75">
      <c r="A3" s="11" t="s">
        <v>2</v>
      </c>
      <c r="B3" s="12"/>
      <c r="C3" s="12"/>
      <c r="D3" s="13"/>
      <c r="E3" s="12"/>
      <c r="F3" s="12"/>
      <c r="G3" s="12"/>
      <c r="H3" s="12"/>
      <c r="I3" s="12"/>
      <c r="J3" s="12"/>
      <c r="K3" s="12"/>
      <c r="L3" s="12"/>
      <c r="M3" s="14"/>
      <c r="N3" s="12"/>
      <c r="O3" s="12"/>
      <c r="P3" s="12"/>
    </row>
    <row r="4" spans="1:16" s="5" customFormat="1" ht="15.75">
      <c r="A4" s="1" t="s">
        <v>3</v>
      </c>
      <c r="B4" s="2"/>
      <c r="C4" s="2"/>
      <c r="D4" s="3"/>
      <c r="E4" s="2"/>
      <c r="F4" s="2"/>
      <c r="G4" s="2"/>
      <c r="H4" s="2"/>
      <c r="I4" s="2"/>
      <c r="J4" s="2"/>
      <c r="K4" s="2"/>
      <c r="L4" s="2"/>
      <c r="M4" s="4"/>
      <c r="N4" s="2"/>
      <c r="O4" s="2"/>
      <c r="P4" s="2"/>
    </row>
    <row r="5" spans="1:16" ht="18.75">
      <c r="A5" s="16" t="s">
        <v>4</v>
      </c>
      <c r="B5" s="17"/>
      <c r="C5" s="17"/>
      <c r="D5" s="17"/>
      <c r="E5" s="17"/>
      <c r="F5" s="17"/>
      <c r="G5" s="17"/>
      <c r="H5" s="17"/>
      <c r="I5" s="17"/>
      <c r="J5" s="17"/>
      <c r="K5" s="17"/>
      <c r="L5" s="17"/>
      <c r="N5" s="17"/>
      <c r="O5" s="17"/>
      <c r="P5" s="17"/>
    </row>
    <row r="6" spans="1:16" s="22" customFormat="1" ht="34.5">
      <c r="A6" s="20" t="s">
        <v>5</v>
      </c>
      <c r="B6" s="21" t="s">
        <v>47</v>
      </c>
      <c r="C6" s="21" t="s">
        <v>48</v>
      </c>
      <c r="D6" s="21" t="s">
        <v>6</v>
      </c>
      <c r="E6" s="21" t="s">
        <v>7</v>
      </c>
      <c r="F6" s="21" t="s">
        <v>8</v>
      </c>
      <c r="G6" s="21" t="s">
        <v>9</v>
      </c>
      <c r="H6" s="21" t="s">
        <v>10</v>
      </c>
      <c r="I6" s="21" t="s">
        <v>11</v>
      </c>
      <c r="J6" s="21" t="s">
        <v>12</v>
      </c>
      <c r="K6" s="21" t="s">
        <v>39</v>
      </c>
      <c r="L6" s="21" t="s">
        <v>40</v>
      </c>
      <c r="M6" s="21" t="s">
        <v>41</v>
      </c>
      <c r="N6" s="21" t="s">
        <v>42</v>
      </c>
      <c r="O6" s="21" t="s">
        <v>43</v>
      </c>
      <c r="P6" s="21" t="s">
        <v>44</v>
      </c>
    </row>
    <row r="7" spans="1:16" ht="15.75">
      <c r="A7" s="23" t="s">
        <v>13</v>
      </c>
      <c r="B7" s="24">
        <f>+'[1]Data -CF09P008v01 Adopted'!C78+'[1]Data -CF09P008v01 Adopted'!C79</f>
        <v>47760.92886125008</v>
      </c>
      <c r="C7" s="24">
        <f>+'[1]Data -CF09P008v01 Adopted'!C78+'[1]Data -CF09P008v01 Adopted'!C79</f>
        <v>47760.92886125008</v>
      </c>
      <c r="D7" s="24">
        <f>+'[1]Data -CF09P008v01 Adopted'!D78+'[1]Data -CF09P008v01 Adopted'!D79</f>
        <v>46015.136038820376</v>
      </c>
      <c r="E7" s="24">
        <f>+'[1]Data -CF09P008v01 Adopted'!E78+'[1]Data -CF09P008v01 Adopted'!E79</f>
        <v>59174.520327250095</v>
      </c>
      <c r="F7" s="24">
        <f>+'[1]Data -CF09P008v01 Adopted'!F78+'[1]Data -CF09P008v01 Adopted'!F79</f>
        <v>44700.00024211197</v>
      </c>
      <c r="G7" s="24">
        <f>+'[1]Data -CF09P008v01 Adopted'!G78+'[1]Data -CF09P008v01 Adopted'!G79</f>
        <v>41080.208469559315</v>
      </c>
      <c r="H7" s="24">
        <f>+'[1]Data -CF09P008v01 Adopted'!H78+'[1]Data -CF09P008v01 Adopted'!H79</f>
        <v>34765.563604701536</v>
      </c>
      <c r="I7" s="24">
        <f>+'[1]Data -CF09P008v01 Adopted'!I78+'[1]Data -CF09P008v01 Adopted'!I79</f>
        <v>13328.401293959112</v>
      </c>
      <c r="J7" s="24">
        <f>+'[1]Data -CF09P008v01 Adopted'!J78+'[1]Data -CF09P008v01 Adopted'!J79</f>
        <v>-0.00022669974714517593</v>
      </c>
      <c r="K7" s="24">
        <f>+'[1]Data -CF09P008v01 Adopted'!K78+'[1]Data -CF09P008v01 Adopted'!K79</f>
        <v>13505.111220778897</v>
      </c>
      <c r="L7" s="24">
        <f>+'[1]Data -CF09P008v01 Adopted'!L78+'[1]Data -CF09P008v01 Adopted'!L79</f>
        <v>27419.04210772959</v>
      </c>
      <c r="M7" s="25">
        <f>+E7</f>
        <v>59174.520327250095</v>
      </c>
      <c r="N7" s="24">
        <f>+'[1]Data -CF09P008v01 Adopted'!M78+'[1]Data -CF09P008v01 Adopted'!M79</f>
        <v>42193.63552387862</v>
      </c>
      <c r="O7" s="24">
        <f>+'[1]Data -CF09P008v01 Adopted'!N78+'[1]Data -CF09P008v01 Adopted'!N79</f>
        <v>57758.149539807</v>
      </c>
      <c r="P7" s="24">
        <f>+'[1]Data -CF09P008v01 Adopted'!O78+'[1]Data -CF09P008v01 Adopted'!O79</f>
        <v>74081.30278870487</v>
      </c>
    </row>
    <row r="8" spans="1:16" ht="15.75">
      <c r="A8" s="26" t="s">
        <v>14</v>
      </c>
      <c r="B8" s="27"/>
      <c r="C8" s="27"/>
      <c r="D8" s="27"/>
      <c r="E8" s="27"/>
      <c r="F8" s="27"/>
      <c r="G8" s="27"/>
      <c r="H8" s="27"/>
      <c r="I8" s="27"/>
      <c r="J8" s="27"/>
      <c r="K8" s="27"/>
      <c r="L8" s="27"/>
      <c r="M8" s="28"/>
      <c r="N8" s="27"/>
      <c r="O8" s="27"/>
      <c r="P8" s="27"/>
    </row>
    <row r="9" spans="1:16" ht="18.75">
      <c r="A9" s="29" t="s">
        <v>49</v>
      </c>
      <c r="B9" s="30">
        <f>+'[1]Data -CF09P008v01 Adopted'!C81</f>
        <v>78208.14</v>
      </c>
      <c r="C9" s="30">
        <f>+'[1]Data -CF09P008v01 Adopted'!C81</f>
        <v>78208.14</v>
      </c>
      <c r="D9" s="30">
        <f>+'[1]Data -CF09P008v01 Adopted'!D81</f>
        <v>87301.196</v>
      </c>
      <c r="E9" s="30">
        <f>+'[1]Data -CF09P008v01 Adopted'!E81</f>
        <v>90490.553</v>
      </c>
      <c r="F9" s="30">
        <f>+'[1]Data -CF09P008v01 Adopted'!F81</f>
        <v>92484.318</v>
      </c>
      <c r="G9" s="30">
        <f>+'[1]Data -CF09P008v01 Adopted'!G81</f>
        <v>104380.666</v>
      </c>
      <c r="H9" s="30">
        <f>+'[1]Data -CF09P008v01 Adopted'!H81</f>
        <v>120283.842408</v>
      </c>
      <c r="I9" s="30">
        <f>+'[1]Data -CF09P008v01 Adopted'!I81</f>
        <v>134245.36342742402</v>
      </c>
      <c r="J9" s="30">
        <f>+'[1]Data -CF09P008v01 Adopted'!J81</f>
        <v>139054.2464553919</v>
      </c>
      <c r="K9" s="30">
        <f>+'[1]Data -CF09P008v01 Adopted'!K81</f>
        <v>141108.89793614286</v>
      </c>
      <c r="L9" s="30">
        <f>+'[1]Data -CF09P008v01 Adopted'!L81</f>
        <v>155017.97039035484</v>
      </c>
      <c r="M9" s="31">
        <f aca="true" t="shared" si="0" ref="M9:M17">SUM(E9:L9)-F9</f>
        <v>884581.5396173137</v>
      </c>
      <c r="N9" s="30">
        <f>+'[1]Data -CF09P008v01 Adopted'!M81</f>
        <v>160687.8884452848</v>
      </c>
      <c r="O9" s="30">
        <f>+'[1]Data -CF09P008v01 Adopted'!N81</f>
        <v>164000.28786575273</v>
      </c>
      <c r="P9" s="30">
        <f>+'[1]Data -CF09P008v01 Adopted'!O81</f>
        <v>179610.4295859938</v>
      </c>
    </row>
    <row r="10" spans="1:16" ht="15.75">
      <c r="A10" s="29" t="str">
        <f>+'[1]Data -CF09P008v01 Adopted'!A82</f>
        <v>  Other Operations Revenue</v>
      </c>
      <c r="B10" s="30">
        <f>+'[1]Data -CF09P008v01 Adopted'!C82</f>
        <v>14929.342</v>
      </c>
      <c r="C10" s="30">
        <f>+'[1]Data -CF09P008v01 Adopted'!C82</f>
        <v>14929.342</v>
      </c>
      <c r="D10" s="30">
        <f>+'[1]Data -CF09P008v01 Adopted'!D82</f>
        <v>13521.047380718614</v>
      </c>
      <c r="E10" s="30">
        <f>+'[1]Data -CF09P008v01 Adopted'!E82</f>
        <v>14284.731360309293</v>
      </c>
      <c r="F10" s="30">
        <f>+'[1]Data -CF09P008v01 Adopted'!F82</f>
        <v>15009.600662697656</v>
      </c>
      <c r="G10" s="30">
        <f>+'[1]Data -CF09P008v01 Adopted'!G82</f>
        <v>18992.93824730459</v>
      </c>
      <c r="H10" s="30">
        <f>+'[1]Data -CF09P008v01 Adopted'!H82</f>
        <v>21900.12219211624</v>
      </c>
      <c r="I10" s="30">
        <f>+'[1]Data -CF09P008v01 Adopted'!I82</f>
        <v>23211.218284178678</v>
      </c>
      <c r="J10" s="30">
        <f>+'[1]Data -CF09P008v01 Adopted'!J82</f>
        <v>25096.087049904687</v>
      </c>
      <c r="K10" s="30">
        <f>+'[1]Data -CF09P008v01 Adopted'!K82</f>
        <v>25990.53434274953</v>
      </c>
      <c r="L10" s="30">
        <f>+'[1]Data -CF09P008v01 Adopted'!L82</f>
        <v>27729.95504976224</v>
      </c>
      <c r="M10" s="31">
        <f t="shared" si="0"/>
        <v>157205.58652632526</v>
      </c>
      <c r="N10" s="30">
        <f>+'[1]Data -CF09P008v01 Adopted'!M82</f>
        <v>28127.107046233174</v>
      </c>
      <c r="O10" s="30">
        <f>+'[1]Data -CF09P008v01 Adopted'!N82</f>
        <v>30076.267360653885</v>
      </c>
      <c r="P10" s="30">
        <f>+'[1]Data -CF09P008v01 Adopted'!O82</f>
        <v>30881.59736097426</v>
      </c>
    </row>
    <row r="11" spans="1:16" ht="15.75">
      <c r="A11" s="29" t="str">
        <f>+'[1]Data -CF09P008v01 Adopted'!A83</f>
        <v>  Sales Tax </v>
      </c>
      <c r="B11" s="30">
        <f>+'[1]Data -CF09P008v01 Adopted'!C83</f>
        <v>321946.649</v>
      </c>
      <c r="C11" s="30">
        <f>+'[1]Data -CF09P008v01 Adopted'!C83</f>
        <v>321946.649</v>
      </c>
      <c r="D11" s="30">
        <f>+'[1]Data -CF09P008v01 Adopted'!D83</f>
        <v>348637.05</v>
      </c>
      <c r="E11" s="30">
        <f>+'[1]Data -CF09P008v01 Adopted'!E83</f>
        <v>338593.373</v>
      </c>
      <c r="F11" s="30">
        <f>+'[1]Data -CF09P008v01 Adopted'!F83</f>
        <v>369770.034</v>
      </c>
      <c r="G11" s="30">
        <f>+'[1]Data -CF09P008v01 Adopted'!G83</f>
        <v>331971.162</v>
      </c>
      <c r="H11" s="30">
        <f>+'[1]Data -CF09P008v01 Adopted'!H83</f>
        <v>342864.869</v>
      </c>
      <c r="I11" s="30">
        <f>+'[1]Data -CF09P008v01 Adopted'!I83</f>
        <v>358592.525</v>
      </c>
      <c r="J11" s="30">
        <f>+'[1]Data -CF09P008v01 Adopted'!J83</f>
        <v>376704.779</v>
      </c>
      <c r="K11" s="30">
        <f>+'[1]Data -CF09P008v01 Adopted'!K83</f>
        <v>397988.46599999996</v>
      </c>
      <c r="L11" s="30">
        <f>+'[1]Data -CF09P008v01 Adopted'!L83</f>
        <v>420474.6176214094</v>
      </c>
      <c r="M11" s="31">
        <f t="shared" si="0"/>
        <v>2567189.7916214094</v>
      </c>
      <c r="N11" s="30">
        <f>+'[1]Data -CF09P008v01 Adopted'!M83</f>
        <v>444231.75095943204</v>
      </c>
      <c r="O11" s="30">
        <f>+'[1]Data -CF09P008v01 Adopted'!N83</f>
        <v>469330.64499117807</v>
      </c>
      <c r="P11" s="30">
        <f>+'[1]Data -CF09P008v01 Adopted'!O83</f>
        <v>495847.34746864846</v>
      </c>
    </row>
    <row r="12" spans="1:16" ht="15.75" hidden="1">
      <c r="A12" s="29" t="str">
        <f>+'[1]Data -CF09P008v01 Adopted'!A84</f>
        <v>  Motor Vehicle Excise Tax</v>
      </c>
      <c r="B12" s="30">
        <f>+'[1]Data -CF09P008v01 Adopted'!C84</f>
        <v>0</v>
      </c>
      <c r="C12" s="30">
        <f>+'[1]Data -CF09P008v01 Adopted'!C84</f>
        <v>0</v>
      </c>
      <c r="D12" s="30">
        <f>+'[1]Data -CF09P008v01 Adopted'!D84</f>
        <v>0</v>
      </c>
      <c r="E12" s="30">
        <f>+'[1]Data -CF09P008v01 Adopted'!E84</f>
        <v>0</v>
      </c>
      <c r="F12" s="30">
        <f>+'[1]Data -CF09P008v01 Adopted'!F84</f>
        <v>0</v>
      </c>
      <c r="G12" s="30">
        <f>+'[1]Data -CF09P008v01 Adopted'!G84</f>
        <v>0</v>
      </c>
      <c r="H12" s="30">
        <f>+'[1]Data -CF09P008v01 Adopted'!H84</f>
        <v>0</v>
      </c>
      <c r="I12" s="30">
        <f>+'[1]Data -CF09P008v01 Adopted'!I84</f>
        <v>0</v>
      </c>
      <c r="J12" s="30">
        <f>+'[1]Data -CF09P008v01 Adopted'!J84</f>
        <v>0</v>
      </c>
      <c r="K12" s="30">
        <f>+'[1]Data -CF09P008v01 Adopted'!K84</f>
        <v>0</v>
      </c>
      <c r="L12" s="30">
        <f>+'[1]Data -CF09P008v01 Adopted'!M84</f>
        <v>0</v>
      </c>
      <c r="M12" s="31">
        <f t="shared" si="0"/>
        <v>0</v>
      </c>
      <c r="N12" s="30">
        <f>+'[1]Data -CF09P008v01 Adopted'!N84</f>
        <v>0</v>
      </c>
      <c r="O12" s="30">
        <f>+'[1]Data -CF09P008v01 Adopted'!O84</f>
        <v>0</v>
      </c>
      <c r="P12" s="30">
        <f>+'[1]Data -CF09P008v01 Adopted'!P84</f>
        <v>0</v>
      </c>
    </row>
    <row r="13" spans="1:16" ht="15.75" hidden="1">
      <c r="A13" s="29" t="str">
        <f>+'[1]Data -CF09P008v01 Adopted'!A85</f>
        <v>  State Interim Financing</v>
      </c>
      <c r="B13" s="30">
        <f>+'[1]Data -CF09P008v01 Adopted'!C85</f>
        <v>0</v>
      </c>
      <c r="C13" s="30">
        <f>+'[1]Data -CF09P008v01 Adopted'!C85</f>
        <v>0</v>
      </c>
      <c r="D13" s="30">
        <f>+'[1]Data -CF09P008v01 Adopted'!D85</f>
        <v>0</v>
      </c>
      <c r="E13" s="30">
        <f>+'[1]Data -CF09P008v01 Adopted'!E85</f>
        <v>0</v>
      </c>
      <c r="F13" s="30">
        <f>+'[1]Data -CF09P008v01 Adopted'!F85</f>
        <v>0</v>
      </c>
      <c r="G13" s="30">
        <f>+'[1]Data -CF09P008v01 Adopted'!G85</f>
        <v>0</v>
      </c>
      <c r="H13" s="30">
        <f>+'[1]Data -CF09P008v01 Adopted'!H85</f>
        <v>0</v>
      </c>
      <c r="I13" s="30">
        <f>+'[1]Data -CF09P008v01 Adopted'!I85</f>
        <v>0</v>
      </c>
      <c r="J13" s="30">
        <f>+'[1]Data -CF09P008v01 Adopted'!J85</f>
        <v>0</v>
      </c>
      <c r="K13" s="30">
        <f>+'[1]Data -CF09P008v01 Adopted'!K85</f>
        <v>0</v>
      </c>
      <c r="L13" s="30">
        <f>+'[1]Data -CF09P008v01 Adopted'!M85</f>
        <v>0</v>
      </c>
      <c r="M13" s="31">
        <f t="shared" si="0"/>
        <v>0</v>
      </c>
      <c r="N13" s="30">
        <f>+'[1]Data -CF09P008v01 Adopted'!N85</f>
        <v>0</v>
      </c>
      <c r="O13" s="30">
        <f>+'[1]Data -CF09P008v01 Adopted'!O85</f>
        <v>0</v>
      </c>
      <c r="P13" s="30">
        <f>+'[1]Data -CF09P008v01 Adopted'!P85</f>
        <v>0</v>
      </c>
    </row>
    <row r="14" spans="1:16" ht="15.75" hidden="1">
      <c r="A14" s="29" t="str">
        <f>+'[1]Data -CF09P008v01 Adopted'!A86</f>
        <v>  FTA Section 9 (Operating)</v>
      </c>
      <c r="B14" s="30">
        <f>+'[1]Data -CF09P008v01 Adopted'!C86</f>
        <v>0</v>
      </c>
      <c r="C14" s="30">
        <f>+'[1]Data -CF09P008v01 Adopted'!C86</f>
        <v>0</v>
      </c>
      <c r="D14" s="30">
        <f>+'[1]Data -CF09P008v01 Adopted'!D86</f>
        <v>0</v>
      </c>
      <c r="E14" s="30">
        <f>+'[1]Data -CF09P008v01 Adopted'!E86</f>
        <v>0</v>
      </c>
      <c r="F14" s="30">
        <f>+'[1]Data -CF09P008v01 Adopted'!F86</f>
        <v>0</v>
      </c>
      <c r="G14" s="30">
        <f>+'[1]Data -CF09P008v01 Adopted'!G86</f>
        <v>0</v>
      </c>
      <c r="H14" s="30">
        <f>+'[1]Data -CF09P008v01 Adopted'!H86</f>
        <v>0</v>
      </c>
      <c r="I14" s="30">
        <f>+'[1]Data -CF09P008v01 Adopted'!I86</f>
        <v>0</v>
      </c>
      <c r="J14" s="30">
        <f>+'[1]Data -CF09P008v01 Adopted'!J86</f>
        <v>0</v>
      </c>
      <c r="K14" s="30">
        <f>+'[1]Data -CF09P008v01 Adopted'!K86</f>
        <v>0</v>
      </c>
      <c r="L14" s="30">
        <f>+'[1]Data -CF09P008v01 Adopted'!M86</f>
        <v>0</v>
      </c>
      <c r="M14" s="31">
        <f t="shared" si="0"/>
        <v>0</v>
      </c>
      <c r="N14" s="30">
        <f>+'[1]Data -CF09P008v01 Adopted'!N86</f>
        <v>0</v>
      </c>
      <c r="O14" s="30">
        <f>+'[1]Data -CF09P008v01 Adopted'!O86</f>
        <v>0</v>
      </c>
      <c r="P14" s="30">
        <f>+'[1]Data -CF09P008v01 Adopted'!P86</f>
        <v>0</v>
      </c>
    </row>
    <row r="15" spans="1:16" ht="15.75">
      <c r="A15" s="29" t="str">
        <f>+'[1]Data -CF09P008v01 Adopted'!A87</f>
        <v>  Payments from ST; Roads, Fleet, Airport</v>
      </c>
      <c r="B15" s="30">
        <f>+'[1]Data -CF09P008v01 Adopted'!C87</f>
        <v>43205.909</v>
      </c>
      <c r="C15" s="30">
        <f>+'[1]Data -CF09P008v01 Adopted'!C87</f>
        <v>43205.909</v>
      </c>
      <c r="D15" s="30">
        <f>+'[1]Data -CF09P008v01 Adopted'!D87</f>
        <v>49580.95373999998</v>
      </c>
      <c r="E15" s="30">
        <f>+'[1]Data -CF09P008v01 Adopted'!E87</f>
        <v>49917.07786999999</v>
      </c>
      <c r="F15" s="30">
        <f>+'[1]Data -CF09P008v01 Adopted'!F87</f>
        <v>66196.36625510252</v>
      </c>
      <c r="G15" s="30">
        <f>+'[1]Data -CF09P008v01 Adopted'!G87</f>
        <v>68795.74121998165</v>
      </c>
      <c r="H15" s="30">
        <f>+'[1]Data -CF09P008v01 Adopted'!H87</f>
        <v>74965.26121164524</v>
      </c>
      <c r="I15" s="30">
        <f>+'[1]Data -CF09P008v01 Adopted'!I87</f>
        <v>78767.09103664328</v>
      </c>
      <c r="J15" s="30">
        <f>+'[1]Data -CF09P008v01 Adopted'!J87</f>
        <v>81668.84544874133</v>
      </c>
      <c r="K15" s="30">
        <f>+'[1]Data -CF09P008v01 Adopted'!K87</f>
        <v>84365.45300037807</v>
      </c>
      <c r="L15" s="30">
        <f>+'[1]Data -CF09P008v01 Adopted'!L87</f>
        <v>87368.27725146065</v>
      </c>
      <c r="M15" s="31">
        <f t="shared" si="0"/>
        <v>525847.7470388502</v>
      </c>
      <c r="N15" s="30">
        <f>+'[1]Data -CF09P008v01 Adopted'!M87</f>
        <v>90516.54993757357</v>
      </c>
      <c r="O15" s="30">
        <f>+'[1]Data -CF09P008v01 Adopted'!N87</f>
        <v>94012.84614289762</v>
      </c>
      <c r="P15" s="30">
        <f>+'[1]Data -CF09P008v01 Adopted'!O87</f>
        <v>97280.21447797073</v>
      </c>
    </row>
    <row r="16" spans="1:16" ht="15.75">
      <c r="A16" s="29" t="str">
        <f>+'[1]Data -CF09P008v01 Adopted'!A88</f>
        <v>  Interest</v>
      </c>
      <c r="B16" s="30">
        <f>+'[1]Data -CF09P008v01 Adopted'!C88</f>
        <v>2787.938</v>
      </c>
      <c r="C16" s="30">
        <f>+'[1]Data -CF09P008v01 Adopted'!C88</f>
        <v>2787.938</v>
      </c>
      <c r="D16" s="30">
        <f>+'[1]Data -CF09P008v01 Adopted'!D88</f>
        <v>2099.392</v>
      </c>
      <c r="E16" s="30">
        <f>+'[1]Data -CF09P008v01 Adopted'!E88</f>
        <v>1338.42</v>
      </c>
      <c r="F16" s="30">
        <f>+'[1]Data -CF09P008v01 Adopted'!F88</f>
        <v>2092.236</v>
      </c>
      <c r="G16" s="30">
        <f>+'[1]Data -CF09P008v01 Adopted'!G88</f>
        <v>544.066</v>
      </c>
      <c r="H16" s="30">
        <f>+'[1]Data -CF09P008v01 Adopted'!H88</f>
        <v>489.39660938474725</v>
      </c>
      <c r="I16" s="30">
        <f>+'[1]Data -CF09P008v01 Adopted'!I88</f>
        <v>-224.3562634140335</v>
      </c>
      <c r="J16" s="30">
        <f>+'[1]Data -CF09P008v01 Adopted'!J88</f>
        <v>-672.1034225621585</v>
      </c>
      <c r="K16" s="30">
        <f>+'[1]Data -CF09P008v01 Adopted'!K88</f>
        <v>-400.2930796770964</v>
      </c>
      <c r="L16" s="30">
        <f>+'[1]Data -CF09P008v01 Adopted'!L88</f>
        <v>83.62699127566768</v>
      </c>
      <c r="M16" s="31">
        <f t="shared" si="0"/>
        <v>1158.7568350071265</v>
      </c>
      <c r="N16" s="30">
        <f>+'[1]Data -CF09P008v01 Adopted'!M88</f>
        <v>701.7253653188596</v>
      </c>
      <c r="O16" s="30">
        <f>+'[1]Data -CF09P008v01 Adopted'!N88</f>
        <v>1391.1799172363242</v>
      </c>
      <c r="P16" s="30">
        <f>+'[1]Data -CF09P008v01 Adopted'!O88</f>
        <v>2090.836454379882</v>
      </c>
    </row>
    <row r="17" spans="1:16" ht="15.75">
      <c r="A17" s="29" t="str">
        <f>+'[1]Data -CF09P008v01 Adopted'!A89</f>
        <v>  Miscellaneous</v>
      </c>
      <c r="B17" s="30"/>
      <c r="C17" s="30">
        <f>+'[1]Data -CF09P008v01 Adopted'!C89</f>
        <v>8883.352</v>
      </c>
      <c r="D17" s="30">
        <f>+'[1]Data -CF09P008v01 Adopted'!D89</f>
        <v>11693.91776257296</v>
      </c>
      <c r="E17" s="30">
        <f>+'[1]Data -CF09P008v01 Adopted'!E89</f>
        <v>11760.934502</v>
      </c>
      <c r="F17" s="30">
        <f>+'[1]Data -CF09P008v01 Adopted'!F89</f>
        <v>14572.929255725001</v>
      </c>
      <c r="G17" s="30">
        <f>+'[1]Data -CF09P008v01 Adopted'!G89</f>
        <v>14094.152907856</v>
      </c>
      <c r="H17" s="30">
        <f>+'[1]Data -CF09P008v01 Adopted'!H89</f>
        <v>22969.822949275967</v>
      </c>
      <c r="I17" s="30">
        <f>+'[1]Data -CF09P008v01 Adopted'!I89</f>
        <v>29752.91474585569</v>
      </c>
      <c r="J17" s="30">
        <f>+'[1]Data -CF09P008v01 Adopted'!J89</f>
        <v>30568.097160379653</v>
      </c>
      <c r="K17" s="30">
        <f>+'[1]Data -CF09P008v01 Adopted'!K89</f>
        <v>22827.627363908286</v>
      </c>
      <c r="L17" s="30">
        <f>+'[1]Data -CF09P008v01 Adopted'!L89</f>
        <v>22487.853401520246</v>
      </c>
      <c r="M17" s="31">
        <f t="shared" si="0"/>
        <v>154461.40303079586</v>
      </c>
      <c r="N17" s="30">
        <f>+'[1]Data -CF09P008v01 Adopted'!M89</f>
        <v>23145.5103279811</v>
      </c>
      <c r="O17" s="30">
        <f>+'[1]Data -CF09P008v01 Adopted'!N89</f>
        <v>23781.428212209437</v>
      </c>
      <c r="P17" s="30">
        <f>+'[1]Data -CF09P008v01 Adopted'!O89</f>
        <v>24478.85749664667</v>
      </c>
    </row>
    <row r="18" spans="1:16" ht="15.75">
      <c r="A18" s="32" t="s">
        <v>15</v>
      </c>
      <c r="B18" s="33">
        <f>SUM(B9:B16)</f>
        <v>461077.978</v>
      </c>
      <c r="C18" s="33">
        <f aca="true" t="shared" si="1" ref="C18:P18">SUM(C9:C17)</f>
        <v>469961.33</v>
      </c>
      <c r="D18" s="33">
        <f t="shared" si="1"/>
        <v>512833.55688329146</v>
      </c>
      <c r="E18" s="33">
        <f t="shared" si="1"/>
        <v>506385.0897323093</v>
      </c>
      <c r="F18" s="33">
        <f t="shared" si="1"/>
        <v>560125.4841735252</v>
      </c>
      <c r="G18" s="33">
        <f t="shared" si="1"/>
        <v>538778.7263751423</v>
      </c>
      <c r="H18" s="33">
        <f t="shared" si="1"/>
        <v>583473.3143704223</v>
      </c>
      <c r="I18" s="33">
        <f t="shared" si="1"/>
        <v>624344.7562306877</v>
      </c>
      <c r="J18" s="33">
        <f t="shared" si="1"/>
        <v>652419.9516918554</v>
      </c>
      <c r="K18" s="33">
        <f t="shared" si="1"/>
        <v>671880.6855635017</v>
      </c>
      <c r="L18" s="33">
        <f t="shared" si="1"/>
        <v>713162.3007057831</v>
      </c>
      <c r="M18" s="34">
        <f t="shared" si="1"/>
        <v>4290444.824669701</v>
      </c>
      <c r="N18" s="33">
        <f t="shared" si="1"/>
        <v>747410.5320818236</v>
      </c>
      <c r="O18" s="33">
        <f t="shared" si="1"/>
        <v>782592.654489928</v>
      </c>
      <c r="P18" s="33">
        <f t="shared" si="1"/>
        <v>830189.2828446138</v>
      </c>
    </row>
    <row r="19" spans="1:16" ht="15.75">
      <c r="A19" s="26" t="s">
        <v>16</v>
      </c>
      <c r="B19" s="27"/>
      <c r="C19" s="35"/>
      <c r="D19" s="35"/>
      <c r="E19" s="35"/>
      <c r="F19" s="35"/>
      <c r="G19" s="35"/>
      <c r="H19" s="35"/>
      <c r="I19" s="35"/>
      <c r="J19" s="35"/>
      <c r="K19" s="35"/>
      <c r="L19" s="35"/>
      <c r="M19" s="35"/>
      <c r="N19" s="35"/>
      <c r="O19" s="35"/>
      <c r="P19" s="35"/>
    </row>
    <row r="20" spans="1:16" ht="15.75">
      <c r="A20" s="29" t="str">
        <f>+'[1]Data -CF09P008v01 Adopted'!A102</f>
        <v>  Transit </v>
      </c>
      <c r="B20" s="30">
        <f>+'[1]Data -CF09P008v01 Adopted'!C102</f>
        <v>-499057.73202</v>
      </c>
      <c r="C20" s="30">
        <f>+'[1]Data -CF09P008v01 Adopted'!C102</f>
        <v>-499057.73202</v>
      </c>
      <c r="D20" s="30">
        <f>+'[1]Data -CF09P008v01 Adopted'!D102</f>
        <v>-538444.569</v>
      </c>
      <c r="E20" s="30">
        <f>+'[1]Data -CF09P008v01 Adopted'!E102</f>
        <v>-547599.443</v>
      </c>
      <c r="F20" s="30">
        <f>+'[1]Data -CF09P008v01 Adopted'!F102</f>
        <v>-590382.297</v>
      </c>
      <c r="G20" s="30">
        <f>+'[1]Data -CF09P008v01 Adopted'!G102</f>
        <v>-592214.62</v>
      </c>
      <c r="H20" s="30">
        <f>+'[1]Data -CF09P008v01 Adopted'!H102</f>
        <v>-641338.737107924</v>
      </c>
      <c r="I20" s="30">
        <f>+'[1]Data -CF09P008v01 Adopted'!I102</f>
        <v>-688695.1679319044</v>
      </c>
      <c r="J20" s="30">
        <f>+'[1]Data -CF09P008v01 Adopted'!J102</f>
        <v>-734269.6696036874</v>
      </c>
      <c r="K20" s="30">
        <f>+'[1]Data -CF09P008v01 Adopted'!K102</f>
        <v>-767736.625307471</v>
      </c>
      <c r="L20" s="30">
        <f>+'[1]Data -CF09P008v01 Adopted'!L102</f>
        <v>-805559.8159495547</v>
      </c>
      <c r="M20" s="31">
        <f>SUM(E20:L20)-F20</f>
        <v>-4777414.078900541</v>
      </c>
      <c r="N20" s="30">
        <f>+'[1]Data -CF09P008v01 Adopted'!M102</f>
        <v>-850272.2412730628</v>
      </c>
      <c r="O20" s="30">
        <f>+'[1]Data -CF09P008v01 Adopted'!N102</f>
        <v>-893349.8202603146</v>
      </c>
      <c r="P20" s="30">
        <f>+'[1]Data -CF09P008v01 Adopted'!O102</f>
        <v>-930029.4796076873</v>
      </c>
    </row>
    <row r="21" spans="1:16" ht="15.75">
      <c r="A21" s="29" t="str">
        <f>+'[1]Data -CF09P008v01 Adopted'!A103</f>
        <v>  Transportation Administration</v>
      </c>
      <c r="B21" s="30">
        <f>+'[1]Data -CF09P008v01 Adopted'!C103</f>
        <v>-5628.94257</v>
      </c>
      <c r="C21" s="30">
        <f>+'[1]Data -CF09P008v01 Adopted'!C103</f>
        <v>-5628.94257</v>
      </c>
      <c r="D21" s="30">
        <f>+'[1]Data -CF09P008v01 Adopted'!D103</f>
        <v>-5888.863</v>
      </c>
      <c r="E21" s="30">
        <f>+'[1]Data -CF09P008v01 Adopted'!E103</f>
        <v>-6153.998</v>
      </c>
      <c r="F21" s="30">
        <f>+'[1]Data -CF09P008v01 Adopted'!F103</f>
        <v>-6069.211</v>
      </c>
      <c r="G21" s="30">
        <f>+'[1]Data -CF09P008v01 Adopted'!G103</f>
        <v>-6324.656</v>
      </c>
      <c r="H21" s="30">
        <f>+'[1]Data -CF09P008v01 Adopted'!H103</f>
        <v>-6541.542368</v>
      </c>
      <c r="I21" s="30">
        <f>+'[1]Data -CF09P008v01 Adopted'!I103</f>
        <v>-6724.7055543040005</v>
      </c>
      <c r="J21" s="30">
        <f>+'[1]Data -CF09P008v01 Adopted'!J103</f>
        <v>-6912.997309824513</v>
      </c>
      <c r="K21" s="30">
        <f>+'[1]Data -CF09P008v01 Adopted'!K103</f>
        <v>-7106.561234499599</v>
      </c>
      <c r="L21" s="30">
        <f>+'[1]Data -CF09P008v01 Adopted'!L103</f>
        <v>-7305.544949065587</v>
      </c>
      <c r="M21" s="31">
        <f>SUM(E21:L21)-F21</f>
        <v>-47070.0054156937</v>
      </c>
      <c r="N21" s="30">
        <f>+'[1]Data -CF09P008v01 Adopted'!M103</f>
        <v>-7510.100207639424</v>
      </c>
      <c r="O21" s="30">
        <f>+'[1]Data -CF09P008v01 Adopted'!N103</f>
        <v>-7720.383013453328</v>
      </c>
      <c r="P21" s="30">
        <f>+'[1]Data -CF09P008v01 Adopted'!O103</f>
        <v>-7936.553737830021</v>
      </c>
    </row>
    <row r="22" spans="1:16" ht="15.75" hidden="1">
      <c r="A22" s="29" t="str">
        <f>+'[1]Data -CF09P008v01 Adopted'!A104</f>
        <v>  Transportation Planning</v>
      </c>
      <c r="B22" s="30">
        <f>+'[1]Data -CF09P008v01 Adopted'!C104</f>
        <v>0</v>
      </c>
      <c r="C22" s="30">
        <f>+'[1]Data -CF09P008v01 Adopted'!C104</f>
        <v>0</v>
      </c>
      <c r="D22" s="30">
        <f>+'[1]Data -CF09P008v01 Adopted'!D104</f>
        <v>0</v>
      </c>
      <c r="E22" s="30">
        <f>+'[1]Data -CF09P008v01 Adopted'!E104</f>
        <v>0</v>
      </c>
      <c r="F22" s="30">
        <f>+'[1]Data -CF09P008v01 Adopted'!F104</f>
        <v>0</v>
      </c>
      <c r="G22" s="30">
        <f>+'[1]Data -CF09P008v01 Adopted'!G104</f>
        <v>0</v>
      </c>
      <c r="H22" s="30">
        <f>+'[1]Data -CF09P008v01 Adopted'!H104</f>
        <v>0</v>
      </c>
      <c r="I22" s="30">
        <f>+'[1]Data -CF09P008v01 Adopted'!I104</f>
        <v>0</v>
      </c>
      <c r="J22" s="30">
        <f>+'[1]Data -CF09P008v01 Adopted'!J104</f>
        <v>0</v>
      </c>
      <c r="K22" s="30">
        <f>+'[1]Data -CF09P008v01 Adopted'!K104</f>
        <v>0</v>
      </c>
      <c r="L22" s="30">
        <f>+'[1]Data -CF09P008v01 Adopted'!M104</f>
        <v>0</v>
      </c>
      <c r="M22" s="31">
        <f>SUM(E22:L22)-F22</f>
        <v>0</v>
      </c>
      <c r="N22" s="30">
        <f>+'[1]Data -CF09P008v01 Adopted'!N104</f>
        <v>0</v>
      </c>
      <c r="O22" s="30">
        <f>+'[1]Data -CF09P008v01 Adopted'!O104</f>
        <v>0</v>
      </c>
      <c r="P22" s="30">
        <f>+'[1]Data -CF09P008v01 Adopted'!P104</f>
        <v>0</v>
      </c>
    </row>
    <row r="23" spans="1:16" ht="15.75">
      <c r="A23" s="29" t="s">
        <v>17</v>
      </c>
      <c r="B23" s="30" t="s">
        <v>17</v>
      </c>
      <c r="C23" s="30" t="s">
        <v>17</v>
      </c>
      <c r="D23" s="30" t="s">
        <v>17</v>
      </c>
      <c r="E23" s="30" t="s">
        <v>17</v>
      </c>
      <c r="F23" s="30" t="s">
        <v>17</v>
      </c>
      <c r="G23" s="30" t="s">
        <v>17</v>
      </c>
      <c r="H23" s="30" t="s">
        <v>17</v>
      </c>
      <c r="I23" s="30" t="s">
        <v>17</v>
      </c>
      <c r="J23" s="30" t="s">
        <v>17</v>
      </c>
      <c r="K23" s="30" t="s">
        <v>17</v>
      </c>
      <c r="L23" s="30" t="s">
        <v>17</v>
      </c>
      <c r="M23" s="31"/>
      <c r="N23" s="30" t="s">
        <v>17</v>
      </c>
      <c r="O23" s="30" t="s">
        <v>17</v>
      </c>
      <c r="P23" s="30" t="s">
        <v>17</v>
      </c>
    </row>
    <row r="24" spans="1:16" ht="15.75">
      <c r="A24" s="23" t="s">
        <v>18</v>
      </c>
      <c r="B24" s="24">
        <f aca="true" t="shared" si="2" ref="B24:L24">SUM(B20:B23)</f>
        <v>-504686.67459</v>
      </c>
      <c r="C24" s="24">
        <f t="shared" si="2"/>
        <v>-504686.67459</v>
      </c>
      <c r="D24" s="24">
        <f t="shared" si="2"/>
        <v>-544333.432</v>
      </c>
      <c r="E24" s="24">
        <f t="shared" si="2"/>
        <v>-553753.441</v>
      </c>
      <c r="F24" s="24">
        <f t="shared" si="2"/>
        <v>-596451.508</v>
      </c>
      <c r="G24" s="24">
        <f t="shared" si="2"/>
        <v>-598539.276</v>
      </c>
      <c r="H24" s="24">
        <f t="shared" si="2"/>
        <v>-647880.279475924</v>
      </c>
      <c r="I24" s="24">
        <f t="shared" si="2"/>
        <v>-695419.8734862084</v>
      </c>
      <c r="J24" s="24">
        <f t="shared" si="2"/>
        <v>-741182.6669135119</v>
      </c>
      <c r="K24" s="24">
        <f t="shared" si="2"/>
        <v>-774843.1865419706</v>
      </c>
      <c r="L24" s="24">
        <f t="shared" si="2"/>
        <v>-812865.3608986202</v>
      </c>
      <c r="M24" s="31">
        <f>+M21+M20</f>
        <v>-4824484.084316235</v>
      </c>
      <c r="N24" s="24">
        <f>SUM(N20:N23)</f>
        <v>-857782.3414807022</v>
      </c>
      <c r="O24" s="24">
        <f>SUM(O20:O23)</f>
        <v>-901070.203273768</v>
      </c>
      <c r="P24" s="24">
        <f>SUM(P20:P23)</f>
        <v>-937966.0333455174</v>
      </c>
    </row>
    <row r="25" spans="1:16" ht="15.75">
      <c r="A25" s="36" t="s">
        <v>19</v>
      </c>
      <c r="B25" s="37"/>
      <c r="C25" s="38">
        <f>+'[1]Data -CF09P008v01 Adopted'!C108</f>
        <v>0</v>
      </c>
      <c r="D25" s="38">
        <f>+'[1]Data -CF09P008v01 Adopted'!D108</f>
        <v>4685.739320000001</v>
      </c>
      <c r="E25" s="38">
        <f>+'[1]Data -CF09P008v01 Adopted'!E108</f>
        <v>4779.93941</v>
      </c>
      <c r="F25" s="38">
        <f>+'[1]Data -CF09P008v01 Adopted'!F108</f>
        <v>5048.02708</v>
      </c>
      <c r="G25" s="38">
        <f>+'[1]Data -CF09P008v01 Adopted'!G108</f>
        <v>5068.904759999999</v>
      </c>
      <c r="H25" s="38">
        <f>+'[1]Data -CF09P008v01 Adopted'!H108</f>
        <v>6478.80279475924</v>
      </c>
      <c r="I25" s="38">
        <f>+'[1]Data -CF09P008v01 Adopted'!I108</f>
        <v>6954.198734862084</v>
      </c>
      <c r="J25" s="38">
        <f>+'[1]Data -CF09P008v01 Adopted'!J108</f>
        <v>7411.826669135119</v>
      </c>
      <c r="K25" s="38">
        <f>+'[1]Data -CF09P008v01 Adopted'!K108</f>
        <v>7748.431865419706</v>
      </c>
      <c r="L25" s="38">
        <f>+'[1]Data -CF09P008v01 Adopted'!L108</f>
        <v>8128.653608986202</v>
      </c>
      <c r="M25" s="39">
        <f>SUM(E25:L25)-F25</f>
        <v>46570.75784316234</v>
      </c>
      <c r="N25" s="38">
        <f>+'[1]Data -CF09P008v01 Adopted'!M108</f>
        <v>8577.823414807022</v>
      </c>
      <c r="O25" s="38">
        <f>+'[1]Data -CF09P008v01 Adopted'!N108</f>
        <v>9010.70203273768</v>
      </c>
      <c r="P25" s="38">
        <f>+'[1]Data -CF09P008v01 Adopted'!O108</f>
        <v>9379.660333455175</v>
      </c>
    </row>
    <row r="26" spans="1:16" ht="15.75">
      <c r="A26" s="40" t="s">
        <v>20</v>
      </c>
      <c r="B26" s="41" t="s">
        <v>17</v>
      </c>
      <c r="C26" s="42"/>
      <c r="D26" s="42"/>
      <c r="E26" s="42"/>
      <c r="F26" s="42"/>
      <c r="G26" s="42"/>
      <c r="H26" s="42"/>
      <c r="I26" s="42"/>
      <c r="J26" s="42"/>
      <c r="K26" s="42"/>
      <c r="L26" s="42"/>
      <c r="M26" s="42"/>
      <c r="N26" s="42"/>
      <c r="O26" s="42"/>
      <c r="P26" s="42"/>
    </row>
    <row r="27" spans="1:13" ht="15.75">
      <c r="A27" s="29" t="s">
        <v>21</v>
      </c>
      <c r="B27" s="43">
        <v>3448</v>
      </c>
      <c r="C27" s="43">
        <f>+'[1]Data -CF09P008v01 Adopted'!C97</f>
        <v>4.08605600000044</v>
      </c>
      <c r="D27" s="43">
        <f>+'[1]Data -CF09P008v01 Adopted'!D97</f>
        <v>0</v>
      </c>
      <c r="E27" s="43">
        <f>+'[1]Data -CF09P008v01 Adopted'!E97</f>
        <v>-1004.9</v>
      </c>
      <c r="F27" s="43">
        <f>+'[1]Data -CF09P008v01 Adopted'!F97</f>
        <v>0</v>
      </c>
      <c r="G27" s="43">
        <f>+'[1]Data -CF09P008v01 Adopted'!G97</f>
        <v>0</v>
      </c>
      <c r="H27" s="43">
        <f>+'[1]Data -CF09P008v01 Adopted'!H97</f>
        <v>0</v>
      </c>
      <c r="I27" s="43">
        <v>0</v>
      </c>
      <c r="J27" s="43">
        <v>0</v>
      </c>
      <c r="K27" s="43">
        <v>0</v>
      </c>
      <c r="L27" s="43">
        <v>0</v>
      </c>
      <c r="M27" s="31">
        <f aca="true" t="shared" si="3" ref="M27:M32">SUM(E27:L27)-F27</f>
        <v>-1004.9</v>
      </c>
    </row>
    <row r="28" spans="1:16" ht="15.75">
      <c r="A28" s="29" t="s">
        <v>22</v>
      </c>
      <c r="B28" s="30">
        <f>+'[1]Data -CF09P008v01 Adopted'!C93</f>
        <v>46134.85</v>
      </c>
      <c r="C28" s="30">
        <f>+'[1]Data -CF09P008v01 Adopted'!C93</f>
        <v>46134.85</v>
      </c>
      <c r="D28" s="30">
        <f>+'[1]Data -CF09P008v01 Adopted'!D93</f>
        <v>25499</v>
      </c>
      <c r="E28" s="30">
        <f>+'[1]Data -CF09P008v01 Adopted'!E93</f>
        <v>25499</v>
      </c>
      <c r="F28" s="30">
        <f>+'[1]Data -CF09P008v01 Adopted'!F93</f>
        <v>35577</v>
      </c>
      <c r="G28" s="30">
        <f>+'[1]Data -CF09P008v01 Adopted'!G93</f>
        <v>48377</v>
      </c>
      <c r="H28" s="30">
        <f>+'[1]Data -CF09P008v01 Adopted'!H93-H29</f>
        <v>36491</v>
      </c>
      <c r="I28" s="30">
        <f>+'[1]Data -CF09P008v01 Adopted'!I93</f>
        <v>26802</v>
      </c>
      <c r="J28" s="30">
        <f>+'[1]Data -CF09P008v01 Adopted'!J93</f>
        <v>42983</v>
      </c>
      <c r="K28" s="30">
        <f>+'[1]Data -CF09P008v01 Adopted'!K93</f>
        <v>49130</v>
      </c>
      <c r="L28" s="30">
        <f>+'[1]Data -CF09P008v01 Adopted'!L93</f>
        <v>48561</v>
      </c>
      <c r="M28" s="31">
        <f t="shared" si="3"/>
        <v>277843</v>
      </c>
      <c r="N28" s="30">
        <f>+'[1]Data -CF09P008v01 Adopted'!M93</f>
        <v>55445.5</v>
      </c>
      <c r="O28" s="30">
        <f>+'[1]Data -CF09P008v01 Adopted'!N93-O29</f>
        <v>61368</v>
      </c>
      <c r="P28" s="30">
        <f>+'[1]Data -CF09P008v01 Adopted'!O93-P29</f>
        <v>47395</v>
      </c>
    </row>
    <row r="29" spans="1:16" ht="15.75" hidden="1">
      <c r="A29" s="29" t="s">
        <v>45</v>
      </c>
      <c r="B29" s="45"/>
      <c r="C29" s="45"/>
      <c r="D29" s="45"/>
      <c r="E29" s="45"/>
      <c r="F29" s="45"/>
      <c r="G29" s="45"/>
      <c r="H29" s="45">
        <f>14247*0+15952*0</f>
        <v>0</v>
      </c>
      <c r="I29" s="45"/>
      <c r="J29" s="45"/>
      <c r="K29" s="45"/>
      <c r="L29" s="45"/>
      <c r="M29" s="31">
        <f t="shared" si="3"/>
        <v>0</v>
      </c>
      <c r="N29" s="45"/>
      <c r="O29" s="45">
        <f>-H29</f>
        <v>0</v>
      </c>
      <c r="P29" s="45"/>
    </row>
    <row r="30" spans="1:16" ht="18.75">
      <c r="A30" s="46" t="s">
        <v>50</v>
      </c>
      <c r="B30" s="45"/>
      <c r="C30" s="45"/>
      <c r="D30" s="45"/>
      <c r="E30" s="45"/>
      <c r="F30" s="45"/>
      <c r="G30" s="45"/>
      <c r="H30" s="45"/>
      <c r="I30" s="43">
        <f>+'[1]Data -CF09P008v01 Adopted'!I97</f>
        <v>23990.517</v>
      </c>
      <c r="J30" s="43">
        <f>+'[1]Data -CF09P008v01 Adopted'!J97-J31</f>
        <v>38353</v>
      </c>
      <c r="K30" s="43">
        <f>+'[1]Data -CF09P008v01 Adopted'!K97-K31</f>
        <v>46478</v>
      </c>
      <c r="L30" s="43">
        <f>+'[1]Data -CF09P008v01 Adopted'!L97-L31</f>
        <v>44268</v>
      </c>
      <c r="M30" s="31">
        <f t="shared" si="3"/>
        <v>153089.517</v>
      </c>
      <c r="N30" s="43">
        <f>+'[1]Data -CF09P008v01 Adopted'!M97-N31</f>
        <v>48393</v>
      </c>
      <c r="O30" s="43">
        <f>+'[1]Data -CF09P008v01 Adopted'!N97-O31</f>
        <v>50902</v>
      </c>
      <c r="P30" s="43">
        <f>+'[1]Data -CF09P008v01 Adopted'!O97</f>
        <v>54617</v>
      </c>
    </row>
    <row r="31" spans="1:16" ht="18.75">
      <c r="A31" s="46" t="s">
        <v>51</v>
      </c>
      <c r="B31" s="46" t="s">
        <v>17</v>
      </c>
      <c r="C31" s="47">
        <v>0</v>
      </c>
      <c r="D31" s="47">
        <v>0</v>
      </c>
      <c r="E31" s="47">
        <v>0</v>
      </c>
      <c r="F31" s="47">
        <v>0</v>
      </c>
      <c r="G31" s="47">
        <v>0</v>
      </c>
      <c r="H31" s="47">
        <v>0</v>
      </c>
      <c r="I31" s="47">
        <v>0</v>
      </c>
      <c r="J31" s="47">
        <v>13520</v>
      </c>
      <c r="K31" s="47">
        <f>+J31</f>
        <v>13520</v>
      </c>
      <c r="L31" s="47">
        <f>+J31</f>
        <v>13520</v>
      </c>
      <c r="M31" s="31">
        <f t="shared" si="3"/>
        <v>40560</v>
      </c>
      <c r="N31" s="47">
        <f>+L31</f>
        <v>13520</v>
      </c>
      <c r="O31" s="47">
        <f>+J31</f>
        <v>13520</v>
      </c>
      <c r="P31" s="47">
        <v>0</v>
      </c>
    </row>
    <row r="32" spans="1:16" ht="15.75">
      <c r="A32" s="48" t="s">
        <v>23</v>
      </c>
      <c r="B32" s="49">
        <f aca="true" t="shared" si="4" ref="B32:H32">SUM(B27:B31)</f>
        <v>49582.85</v>
      </c>
      <c r="C32" s="49">
        <f t="shared" si="4"/>
        <v>46138.936056</v>
      </c>
      <c r="D32" s="49">
        <f t="shared" si="4"/>
        <v>25499</v>
      </c>
      <c r="E32" s="49">
        <f t="shared" si="4"/>
        <v>24494.1</v>
      </c>
      <c r="F32" s="49">
        <f t="shared" si="4"/>
        <v>35577</v>
      </c>
      <c r="G32" s="49">
        <f t="shared" si="4"/>
        <v>48377</v>
      </c>
      <c r="H32" s="49">
        <f t="shared" si="4"/>
        <v>36491</v>
      </c>
      <c r="I32" s="49">
        <f>SUM(I28:I31)</f>
        <v>50792.517</v>
      </c>
      <c r="J32" s="49">
        <f>SUM(J28:J31)</f>
        <v>94856</v>
      </c>
      <c r="K32" s="49">
        <f>SUM(K28:K31)</f>
        <v>109128</v>
      </c>
      <c r="L32" s="49">
        <f>SUM(L28:L31)</f>
        <v>106349</v>
      </c>
      <c r="M32" s="31">
        <f t="shared" si="3"/>
        <v>470487.61699999997</v>
      </c>
      <c r="N32" s="49">
        <f>SUM(N28:N31)</f>
        <v>117358.5</v>
      </c>
      <c r="O32" s="49">
        <f>SUM(O28:O31)</f>
        <v>125790</v>
      </c>
      <c r="P32" s="49">
        <f>SUM(P28:P31)</f>
        <v>102012</v>
      </c>
    </row>
    <row r="33" spans="1:16" ht="15.75">
      <c r="A33" s="50" t="s">
        <v>24</v>
      </c>
      <c r="B33" s="49">
        <f aca="true" t="shared" si="5" ref="B33:L33">B7+B18+B24+B25+B32</f>
        <v>53735.082271250045</v>
      </c>
      <c r="C33" s="49">
        <f t="shared" si="5"/>
        <v>59174.52032725012</v>
      </c>
      <c r="D33" s="49">
        <f t="shared" si="5"/>
        <v>44700.000242111804</v>
      </c>
      <c r="E33" s="49">
        <f t="shared" si="5"/>
        <v>41080.20846955935</v>
      </c>
      <c r="F33" s="49">
        <f t="shared" si="5"/>
        <v>48999.00349563718</v>
      </c>
      <c r="G33" s="49">
        <f t="shared" si="5"/>
        <v>34765.56360470171</v>
      </c>
      <c r="H33" s="49">
        <f t="shared" si="5"/>
        <v>13328.401293959083</v>
      </c>
      <c r="I33" s="49">
        <f t="shared" si="5"/>
        <v>-0.00022669945610687137</v>
      </c>
      <c r="J33" s="49">
        <f t="shared" si="5"/>
        <v>13505.111220778883</v>
      </c>
      <c r="K33" s="49">
        <f t="shared" si="5"/>
        <v>27419.042107729692</v>
      </c>
      <c r="L33" s="49">
        <f t="shared" si="5"/>
        <v>42193.63552387865</v>
      </c>
      <c r="M33" s="39">
        <f>+L33</f>
        <v>42193.63552387865</v>
      </c>
      <c r="N33" s="49">
        <f>N7+N18+N24+N25+N32</f>
        <v>57758.14953980704</v>
      </c>
      <c r="O33" s="49">
        <f>O7+O18+O24+O25+O32</f>
        <v>74081.30278870476</v>
      </c>
      <c r="P33" s="49">
        <f>P7+P18+P24+P25+P32</f>
        <v>77696.21262125646</v>
      </c>
    </row>
    <row r="34" spans="1:16" ht="15.75">
      <c r="A34" s="26" t="s">
        <v>25</v>
      </c>
      <c r="B34" s="51"/>
      <c r="C34" s="52"/>
      <c r="D34" s="52"/>
      <c r="E34" s="52"/>
      <c r="F34" s="52"/>
      <c r="G34" s="52"/>
      <c r="H34" s="52"/>
      <c r="I34" s="52"/>
      <c r="J34" s="52"/>
      <c r="K34" s="27"/>
      <c r="L34" s="27"/>
      <c r="M34" s="53"/>
      <c r="N34" s="52"/>
      <c r="O34" s="52"/>
      <c r="P34" s="52"/>
    </row>
    <row r="35" spans="1:16" ht="18.75">
      <c r="A35" s="29" t="s">
        <v>52</v>
      </c>
      <c r="B35" s="54">
        <f>ROUND(+'[1]Data -CF09P008v01 Adopted'!C109*-0.082,0)</f>
        <v>41384</v>
      </c>
      <c r="C35" s="54">
        <f aca="true" t="shared" si="6" ref="C35:L35">+C33-C36</f>
        <v>43532.89232725011</v>
      </c>
      <c r="D35" s="54">
        <f t="shared" si="6"/>
        <v>44699.99999999983</v>
      </c>
      <c r="E35" s="54">
        <f t="shared" si="6"/>
        <v>41080.20846955935</v>
      </c>
      <c r="F35" s="54">
        <f t="shared" si="6"/>
        <v>48999.00349563718</v>
      </c>
      <c r="G35" s="54">
        <f t="shared" si="6"/>
        <v>34765.56360470171</v>
      </c>
      <c r="H35" s="54">
        <f t="shared" si="6"/>
        <v>13328.401293959083</v>
      </c>
      <c r="I35" s="54">
        <f t="shared" si="6"/>
        <v>-0.00022669945610687137</v>
      </c>
      <c r="J35" s="54">
        <f t="shared" si="6"/>
        <v>13505.111220778883</v>
      </c>
      <c r="K35" s="54">
        <f t="shared" si="6"/>
        <v>27419.042107729692</v>
      </c>
      <c r="L35" s="54">
        <f t="shared" si="6"/>
        <v>42193.63552387865</v>
      </c>
      <c r="M35" s="55">
        <f>+L35</f>
        <v>42193.63552387865</v>
      </c>
      <c r="N35" s="54">
        <f>+N33-N36</f>
        <v>57758.14953980704</v>
      </c>
      <c r="O35" s="54">
        <f>+O33-O36</f>
        <v>74081.30278870476</v>
      </c>
      <c r="P35" s="54">
        <f>+P33-P36</f>
        <v>77696.21262125646</v>
      </c>
    </row>
    <row r="36" spans="1:16" ht="15.75">
      <c r="A36" s="29" t="s">
        <v>26</v>
      </c>
      <c r="B36" s="54">
        <f>+'[1]Data -CF09P008v01 Adopted'!C116</f>
        <v>15641.628000000004</v>
      </c>
      <c r="C36" s="54">
        <f>+'[1]Data -CF09P008v01 Adopted'!C116</f>
        <v>15641.628000000004</v>
      </c>
      <c r="D36" s="54">
        <f>+'[1]Data -CF09P008v01 Adopted'!D116</f>
        <v>0.00024211197160184383</v>
      </c>
      <c r="E36" s="56">
        <f>+'[1]Data -CF09P008v01 Adopted'!E116</f>
        <v>0</v>
      </c>
      <c r="F36" s="54">
        <f>+'[1]Data -CF09P008v01 Adopted'!F116</f>
        <v>0</v>
      </c>
      <c r="G36" s="54">
        <f>+'[1]Data -CF09P008v01 Adopted'!G116</f>
        <v>0</v>
      </c>
      <c r="H36" s="54">
        <f>+'[1]Data -CF09P008v01 Adopted'!H116</f>
        <v>0</v>
      </c>
      <c r="I36" s="54">
        <f>+'[1]Data -CF09P008v01 Adopted'!I116</f>
        <v>0</v>
      </c>
      <c r="J36" s="54">
        <f>+'[1]Data -CF09P008v01 Adopted'!J116</f>
        <v>0</v>
      </c>
      <c r="K36" s="54">
        <f>+'[1]Data -CF09P008v01 Adopted'!K116</f>
        <v>0</v>
      </c>
      <c r="L36" s="57">
        <f>+'[1]Data -CF09P008v01 Adopted'!M116</f>
        <v>0</v>
      </c>
      <c r="M36" s="31">
        <f>+L36</f>
        <v>0</v>
      </c>
      <c r="N36" s="54">
        <f>+'[1]Data -CF09P008v01 Adopted'!N116</f>
        <v>0</v>
      </c>
      <c r="O36" s="54">
        <f>+'[1]Data -CF09P008v01 Adopted'!O116</f>
        <v>0</v>
      </c>
      <c r="P36" s="54">
        <f>+'[1]Data -CF09P008v01 Adopted'!P116</f>
        <v>0</v>
      </c>
    </row>
    <row r="37" spans="1:16" ht="15.75">
      <c r="A37" s="29" t="s">
        <v>27</v>
      </c>
      <c r="B37" s="54"/>
      <c r="C37" s="51" t="s">
        <v>17</v>
      </c>
      <c r="D37" s="51" t="s">
        <v>17</v>
      </c>
      <c r="E37" s="51" t="s">
        <v>17</v>
      </c>
      <c r="F37" s="51" t="s">
        <v>17</v>
      </c>
      <c r="G37" s="51" t="s">
        <v>17</v>
      </c>
      <c r="H37" s="51" t="s">
        <v>17</v>
      </c>
      <c r="I37" s="51" t="s">
        <v>17</v>
      </c>
      <c r="J37" s="51" t="s">
        <v>17</v>
      </c>
      <c r="K37" s="51" t="s">
        <v>17</v>
      </c>
      <c r="L37" s="51" t="s">
        <v>17</v>
      </c>
      <c r="M37" s="51" t="s">
        <v>17</v>
      </c>
      <c r="N37" s="51" t="s">
        <v>17</v>
      </c>
      <c r="O37" s="51" t="s">
        <v>17</v>
      </c>
      <c r="P37" s="51" t="s">
        <v>17</v>
      </c>
    </row>
    <row r="38" spans="1:16" ht="15.75">
      <c r="A38" s="58" t="s">
        <v>28</v>
      </c>
      <c r="B38" s="59">
        <f aca="true" t="shared" si="7" ref="B38:L38">SUM(B35:B37)</f>
        <v>57025.628000000004</v>
      </c>
      <c r="C38" s="59">
        <f t="shared" si="7"/>
        <v>59174.52032725012</v>
      </c>
      <c r="D38" s="59">
        <f t="shared" si="7"/>
        <v>44700.000242111804</v>
      </c>
      <c r="E38" s="59">
        <f t="shared" si="7"/>
        <v>41080.20846955935</v>
      </c>
      <c r="F38" s="59">
        <f t="shared" si="7"/>
        <v>48999.00349563718</v>
      </c>
      <c r="G38" s="59">
        <f t="shared" si="7"/>
        <v>34765.56360470171</v>
      </c>
      <c r="H38" s="59">
        <f t="shared" si="7"/>
        <v>13328.401293959083</v>
      </c>
      <c r="I38" s="59">
        <f t="shared" si="7"/>
        <v>-0.00022669945610687137</v>
      </c>
      <c r="J38" s="59">
        <f t="shared" si="7"/>
        <v>13505.111220778883</v>
      </c>
      <c r="K38" s="59">
        <f t="shared" si="7"/>
        <v>27419.042107729692</v>
      </c>
      <c r="L38" s="59">
        <f t="shared" si="7"/>
        <v>42193.63552387865</v>
      </c>
      <c r="M38" s="31">
        <f>+L38</f>
        <v>42193.63552387865</v>
      </c>
      <c r="N38" s="59">
        <f>SUM(N35:N37)</f>
        <v>57758.14953980704</v>
      </c>
      <c r="O38" s="59">
        <f>SUM(O35:O37)</f>
        <v>74081.30278870476</v>
      </c>
      <c r="P38" s="59">
        <f>SUM(P35:P37)</f>
        <v>77696.21262125646</v>
      </c>
    </row>
    <row r="39" spans="1:16" ht="15.75">
      <c r="A39" s="50" t="s">
        <v>29</v>
      </c>
      <c r="B39" s="49">
        <f aca="true" t="shared" si="8" ref="B39:L39">+B33-B38</f>
        <v>-3290.5457287499594</v>
      </c>
      <c r="C39" s="49">
        <f t="shared" si="8"/>
        <v>0</v>
      </c>
      <c r="D39" s="49">
        <f t="shared" si="8"/>
        <v>0</v>
      </c>
      <c r="E39" s="49">
        <f t="shared" si="8"/>
        <v>0</v>
      </c>
      <c r="F39" s="49">
        <f t="shared" si="8"/>
        <v>0</v>
      </c>
      <c r="G39" s="49">
        <f t="shared" si="8"/>
        <v>0</v>
      </c>
      <c r="H39" s="49">
        <f t="shared" si="8"/>
        <v>0</v>
      </c>
      <c r="I39" s="49">
        <f t="shared" si="8"/>
        <v>0</v>
      </c>
      <c r="J39" s="49">
        <f t="shared" si="8"/>
        <v>0</v>
      </c>
      <c r="K39" s="49">
        <f t="shared" si="8"/>
        <v>0</v>
      </c>
      <c r="L39" s="49">
        <f t="shared" si="8"/>
        <v>0</v>
      </c>
      <c r="M39" s="39">
        <f>SUM(E39:L39)-F39</f>
        <v>0</v>
      </c>
      <c r="N39" s="49">
        <f>+N33-N38</f>
        <v>0</v>
      </c>
      <c r="O39" s="49">
        <f>+O33-O38</f>
        <v>0</v>
      </c>
      <c r="P39" s="49">
        <f>+P33-P38</f>
        <v>0</v>
      </c>
    </row>
    <row r="40" spans="1:16" s="5" customFormat="1" ht="15.75">
      <c r="A40" s="60"/>
      <c r="B40" s="61"/>
      <c r="C40" s="61"/>
      <c r="D40" s="61"/>
      <c r="E40" s="61"/>
      <c r="F40" s="61"/>
      <c r="G40" s="61"/>
      <c r="H40" s="61"/>
      <c r="I40" s="61"/>
      <c r="J40" s="61"/>
      <c r="K40" s="61"/>
      <c r="L40" s="61"/>
      <c r="M40" s="4"/>
      <c r="N40" s="61"/>
      <c r="O40" s="61"/>
      <c r="P40" s="61"/>
    </row>
    <row r="41" spans="1:16" s="18" customFormat="1" ht="18.75">
      <c r="A41" s="62" t="s">
        <v>53</v>
      </c>
      <c r="B41" s="63">
        <f>-B24*0.082</f>
        <v>41384.30731638</v>
      </c>
      <c r="C41" s="63">
        <f>-C24*0.0822</f>
        <v>41485.244651297995</v>
      </c>
      <c r="D41" s="63">
        <f>-(D24)*0.0822</f>
        <v>44744.2081104</v>
      </c>
      <c r="E41" s="63">
        <f>-(E24)*0.082</f>
        <v>45407.782162</v>
      </c>
      <c r="F41" s="63">
        <f aca="true" t="shared" si="9" ref="F41:L41">-(F24)*0.0822</f>
        <v>49028.3139576</v>
      </c>
      <c r="G41" s="63">
        <f t="shared" si="9"/>
        <v>49199.92848719999</v>
      </c>
      <c r="H41" s="63">
        <f t="shared" si="9"/>
        <v>53255.75897292095</v>
      </c>
      <c r="I41" s="63">
        <f t="shared" si="9"/>
        <v>57163.51360056632</v>
      </c>
      <c r="J41" s="63">
        <f t="shared" si="9"/>
        <v>60925.21522029068</v>
      </c>
      <c r="K41" s="63">
        <f t="shared" si="9"/>
        <v>63692.109933749976</v>
      </c>
      <c r="L41" s="63">
        <f t="shared" si="9"/>
        <v>66817.53266586657</v>
      </c>
      <c r="M41" s="64">
        <f>+L41</f>
        <v>66817.53266586657</v>
      </c>
      <c r="N41" s="63">
        <f>-(N24)*0.0822</f>
        <v>70509.70846971372</v>
      </c>
      <c r="O41" s="63">
        <f>-(O24)*0.0822</f>
        <v>74067.97070910373</v>
      </c>
      <c r="P41" s="63">
        <f>-(P24)*0.0822</f>
        <v>77100.80794100152</v>
      </c>
    </row>
    <row r="42" spans="1:16" ht="15.75">
      <c r="A42" s="65"/>
      <c r="B42" s="17"/>
      <c r="C42" s="17"/>
      <c r="D42" s="17" t="s">
        <v>17</v>
      </c>
      <c r="E42" s="17"/>
      <c r="F42" s="17"/>
      <c r="G42" s="17"/>
      <c r="H42" s="17"/>
      <c r="I42" s="17"/>
      <c r="J42" s="17"/>
      <c r="K42" s="66"/>
      <c r="L42" s="17"/>
      <c r="N42" s="17"/>
      <c r="O42" s="17"/>
      <c r="P42" s="17"/>
    </row>
    <row r="43" spans="1:16" ht="15.75">
      <c r="A43" s="67" t="s">
        <v>30</v>
      </c>
      <c r="B43" s="17"/>
      <c r="C43" s="17" t="s">
        <v>17</v>
      </c>
      <c r="D43" s="17" t="s">
        <v>17</v>
      </c>
      <c r="E43" s="17"/>
      <c r="F43" s="17" t="s">
        <v>17</v>
      </c>
      <c r="G43" s="17" t="s">
        <v>17</v>
      </c>
      <c r="H43" s="17" t="s">
        <v>17</v>
      </c>
      <c r="I43" s="17"/>
      <c r="J43" s="17"/>
      <c r="K43" s="17"/>
      <c r="L43" s="17"/>
      <c r="M43" s="68"/>
      <c r="N43" s="17"/>
      <c r="O43" s="17"/>
      <c r="P43" s="17"/>
    </row>
    <row r="44" spans="1:16" ht="18.75">
      <c r="A44" s="69" t="s">
        <v>31</v>
      </c>
      <c r="B44" s="66"/>
      <c r="C44" s="66"/>
      <c r="D44" s="44"/>
      <c r="E44" s="66"/>
      <c r="K44" s="44" t="s">
        <v>17</v>
      </c>
      <c r="L44" s="44" t="s">
        <v>17</v>
      </c>
      <c r="M44" s="68" t="str">
        <f>+L44</f>
        <v> </v>
      </c>
      <c r="N44" s="44" t="s">
        <v>17</v>
      </c>
      <c r="O44" s="44">
        <f>+O43+O29</f>
        <v>0</v>
      </c>
      <c r="P44" s="44">
        <f>+P43+O29</f>
        <v>0</v>
      </c>
    </row>
    <row r="45" spans="1:16" ht="18.75">
      <c r="A45" s="70" t="s">
        <v>32</v>
      </c>
      <c r="B45" s="66"/>
      <c r="C45" s="66"/>
      <c r="D45" s="44"/>
      <c r="E45" s="66"/>
      <c r="F45" s="66"/>
      <c r="G45" s="17"/>
      <c r="H45" s="17"/>
      <c r="I45" s="17"/>
      <c r="J45" s="17"/>
      <c r="K45" s="17"/>
      <c r="L45" s="17"/>
      <c r="M45" s="68"/>
      <c r="N45" s="17"/>
      <c r="O45" s="17"/>
      <c r="P45" s="17"/>
    </row>
    <row r="46" spans="1:16" ht="18.75">
      <c r="A46" s="70" t="s">
        <v>33</v>
      </c>
      <c r="B46" s="2"/>
      <c r="C46" s="2"/>
      <c r="D46" s="71"/>
      <c r="E46" s="2"/>
      <c r="F46" s="66"/>
      <c r="G46" s="17"/>
      <c r="H46" s="17"/>
      <c r="I46" s="17"/>
      <c r="J46" s="17"/>
      <c r="K46" s="17"/>
      <c r="L46" s="17"/>
      <c r="M46" s="68"/>
      <c r="N46" s="17"/>
      <c r="O46" s="17"/>
      <c r="P46" s="17"/>
    </row>
    <row r="47" spans="1:16" ht="18.75" customHeight="1">
      <c r="A47" s="72" t="s">
        <v>34</v>
      </c>
      <c r="B47" s="73"/>
      <c r="C47" s="73"/>
      <c r="D47" s="71"/>
      <c r="E47" s="66"/>
      <c r="G47" s="17"/>
      <c r="H47" s="17"/>
      <c r="I47" s="17"/>
      <c r="J47" s="17"/>
      <c r="K47" s="17"/>
      <c r="L47" s="17"/>
      <c r="N47" s="17"/>
      <c r="O47" s="17"/>
      <c r="P47" s="17"/>
    </row>
    <row r="48" spans="1:16" ht="18.75">
      <c r="A48" s="72" t="s">
        <v>35</v>
      </c>
      <c r="B48" s="74" t="s">
        <v>54</v>
      </c>
      <c r="C48" s="17"/>
      <c r="D48" s="44"/>
      <c r="E48" s="17"/>
      <c r="F48" s="17"/>
      <c r="G48" s="17"/>
      <c r="H48" s="17"/>
      <c r="I48" s="17"/>
      <c r="J48" s="17"/>
      <c r="K48" s="17"/>
      <c r="L48" s="17"/>
      <c r="N48" s="17"/>
      <c r="O48" s="17"/>
      <c r="P48" s="17"/>
    </row>
    <row r="49" ht="18.75">
      <c r="A49" s="72" t="s">
        <v>36</v>
      </c>
    </row>
    <row r="50" spans="1:11" ht="18.75">
      <c r="A50" s="72" t="s">
        <v>37</v>
      </c>
      <c r="F50" s="76"/>
      <c r="G50" s="76"/>
      <c r="H50" s="76"/>
      <c r="I50" s="76"/>
      <c r="J50" s="76"/>
      <c r="K50" s="76"/>
    </row>
    <row r="51" ht="18.75">
      <c r="A51" s="72" t="s">
        <v>38</v>
      </c>
    </row>
    <row r="59" ht="18.75">
      <c r="C59" s="78" t="s">
        <v>46</v>
      </c>
    </row>
  </sheetData>
  <sheetProtection/>
  <printOptions horizontalCentered="1"/>
  <pageMargins left="0.18" right="0.16" top="0.5" bottom="0.5" header="0.5" footer="0.5"/>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Morgan</dc:creator>
  <cp:keywords/>
  <dc:description/>
  <cp:lastModifiedBy>John Resha</cp:lastModifiedBy>
  <dcterms:created xsi:type="dcterms:W3CDTF">2009-02-04T15:33:47Z</dcterms:created>
  <dcterms:modified xsi:type="dcterms:W3CDTF">2009-03-06T20:53:23Z</dcterms:modified>
  <cp:category/>
  <cp:version/>
  <cp:contentType/>
  <cp:contentStatus/>
</cp:coreProperties>
</file>