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2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<sst xmlns="http://schemas.openxmlformats.org/spreadsheetml/2006/main" count="35" uniqueCount="29">
  <si>
    <t>Interest</t>
  </si>
  <si>
    <t>Term (yrs)</t>
  </si>
  <si>
    <t>SRF Loan Debt Service</t>
  </si>
  <si>
    <t>Revenue Bond Debt Service</t>
  </si>
  <si>
    <t>2012-39</t>
  </si>
  <si>
    <t>Expenditure</t>
  </si>
  <si>
    <t>Service</t>
  </si>
  <si>
    <t xml:space="preserve">Capital    </t>
  </si>
  <si>
    <t xml:space="preserve">Debt  </t>
  </si>
  <si>
    <t>Present Value</t>
  </si>
  <si>
    <t>2012-39 Total</t>
  </si>
  <si>
    <t xml:space="preserve">PV check: </t>
  </si>
  <si>
    <t>Debt Service Comparison, SRF Loan and Revenue Bonds</t>
  </si>
  <si>
    <t>SRF loan</t>
  </si>
  <si>
    <t>accumulated</t>
  </si>
  <si>
    <t>interest *</t>
  </si>
  <si>
    <t>debt svc</t>
  </si>
  <si>
    <t>increments</t>
  </si>
  <si>
    <t>INPUTS &gt;&gt;&gt;&gt;&gt;&gt;&gt;&gt;&gt;</t>
  </si>
  <si>
    <t>Debt Service</t>
  </si>
  <si>
    <t xml:space="preserve">Savings  </t>
  </si>
  <si>
    <t>* Accumulated interest included in loan balance</t>
  </si>
  <si>
    <t>at completion of project.  WTD accounts for</t>
  </si>
  <si>
    <t>annual interest as a debt service expense.</t>
  </si>
  <si>
    <t>Brightwater Outfall</t>
  </si>
  <si>
    <t>old loan amt.</t>
  </si>
  <si>
    <t>new loan amt.</t>
  </si>
  <si>
    <t>new / old</t>
  </si>
  <si>
    <t xml:space="preserve">loan by year: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</si>
</sst>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0%"/>
    <numFmt numFmtId="167" formatCode="0.0000%"/>
    <numFmt numFmtId="168" formatCode="0.00000%"/>
    <numFmt numFmtId="169" formatCode="0.000000%"/>
    <numFmt numFmtId="170" formatCode="0.000000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0" fontId="0" fillId="0" borderId="0" xfId="19" applyNumberFormat="1" applyAlignment="1">
      <alignment/>
    </xf>
    <xf numFmtId="37" fontId="0" fillId="0" borderId="0" xfId="15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37" fontId="4" fillId="0" borderId="0" xfId="15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0" fontId="0" fillId="0" borderId="1" xfId="19" applyNumberFormat="1" applyBorder="1" applyAlignment="1">
      <alignment/>
    </xf>
    <xf numFmtId="37" fontId="0" fillId="0" borderId="1" xfId="15" applyBorder="1" applyAlignment="1">
      <alignment/>
    </xf>
    <xf numFmtId="0" fontId="3" fillId="0" borderId="1" xfId="0" applyFont="1" applyBorder="1" applyAlignment="1">
      <alignment horizontal="right"/>
    </xf>
    <xf numFmtId="3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0" fontId="4" fillId="0" borderId="0" xfId="19" applyNumberFormat="1" applyFont="1" applyAlignment="1">
      <alignment/>
    </xf>
    <xf numFmtId="37" fontId="7" fillId="0" borderId="0" xfId="15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95" zoomScaleNormal="95" workbookViewId="0" topLeftCell="A1">
      <selection activeCell="D48" sqref="D48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12.140625" style="0" customWidth="1"/>
    <col min="4" max="4" width="12.421875" style="0" customWidth="1"/>
    <col min="5" max="5" width="2.140625" style="0" customWidth="1"/>
    <col min="6" max="6" width="16.421875" style="0" customWidth="1"/>
    <col min="7" max="7" width="12.140625" style="0" customWidth="1"/>
    <col min="8" max="8" width="2.28125" style="0" customWidth="1"/>
    <col min="9" max="9" width="15.28125" style="0" customWidth="1"/>
    <col min="10" max="10" width="3.140625" style="0" customWidth="1"/>
    <col min="11" max="11" width="14.28125" style="0" customWidth="1"/>
    <col min="12" max="12" width="18.421875" style="0" customWidth="1"/>
    <col min="13" max="13" width="10.421875" style="0" customWidth="1"/>
    <col min="14" max="14" width="3.140625" style="0" customWidth="1"/>
    <col min="15" max="15" width="9.00390625" style="0" customWidth="1"/>
    <col min="16" max="16" width="9.8515625" style="0" customWidth="1"/>
    <col min="17" max="19" width="10.7109375" style="0" customWidth="1"/>
    <col min="20" max="20" width="11.8515625" style="0" customWidth="1"/>
  </cols>
  <sheetData>
    <row r="1" ht="15.75">
      <c r="A1" s="19" t="s">
        <v>12</v>
      </c>
    </row>
    <row r="2" spans="1:13" ht="19.5" customHeight="1">
      <c r="A2" s="19" t="s">
        <v>24</v>
      </c>
      <c r="K2" s="11" t="s">
        <v>25</v>
      </c>
      <c r="L2" s="11" t="s">
        <v>26</v>
      </c>
      <c r="M2" s="11" t="s">
        <v>27</v>
      </c>
    </row>
    <row r="3" spans="1:13" ht="21" customHeight="1">
      <c r="A3" s="19"/>
      <c r="K3" s="15">
        <f>947246</f>
        <v>947246</v>
      </c>
      <c r="L3" s="15">
        <f>K3*M$3</f>
        <v>635651.9273193193</v>
      </c>
      <c r="M3" s="36">
        <f>L7/K7</f>
        <v>0.6710526381946393</v>
      </c>
    </row>
    <row r="4" spans="3:13" ht="12.75">
      <c r="C4" s="12" t="s">
        <v>2</v>
      </c>
      <c r="D4" s="12"/>
      <c r="E4" s="28"/>
      <c r="F4" s="18" t="s">
        <v>3</v>
      </c>
      <c r="G4" s="12"/>
      <c r="H4" s="12"/>
      <c r="K4" s="15">
        <f>4002626</f>
        <v>4002626</v>
      </c>
      <c r="L4" s="15">
        <f>K4*M$3</f>
        <v>2685972.7370064566</v>
      </c>
      <c r="M4" s="14"/>
    </row>
    <row r="5" spans="5:13" ht="14.25" customHeight="1">
      <c r="E5" s="28"/>
      <c r="K5" s="15">
        <f>11628181</f>
        <v>11628181</v>
      </c>
      <c r="L5" s="15">
        <f>K5*M$3</f>
        <v>7803121.537454779</v>
      </c>
      <c r="M5" s="14"/>
    </row>
    <row r="6" spans="3:13" ht="12.75">
      <c r="C6" s="16" t="s">
        <v>0</v>
      </c>
      <c r="D6" s="1">
        <v>0.026</v>
      </c>
      <c r="E6" s="23"/>
      <c r="F6" s="17" t="s">
        <v>0</v>
      </c>
      <c r="G6" s="1">
        <v>0.055</v>
      </c>
      <c r="H6" s="24"/>
      <c r="I6" s="1"/>
      <c r="J6" s="1"/>
      <c r="K6" s="37">
        <f>7288647</f>
        <v>7288647</v>
      </c>
      <c r="L6" s="37">
        <f>K6*M$3</f>
        <v>4891065.798219443</v>
      </c>
      <c r="M6" s="14"/>
    </row>
    <row r="7" spans="3:13" ht="12.75">
      <c r="C7" s="16" t="s">
        <v>1</v>
      </c>
      <c r="D7" s="2">
        <v>20</v>
      </c>
      <c r="E7" s="23"/>
      <c r="F7" s="17" t="s">
        <v>1</v>
      </c>
      <c r="G7" s="2">
        <v>30</v>
      </c>
      <c r="H7" s="25"/>
      <c r="I7" s="2"/>
      <c r="J7" s="2"/>
      <c r="K7" s="7">
        <f>SUM(K3:K6)</f>
        <v>23866700</v>
      </c>
      <c r="L7" s="15">
        <v>16015812</v>
      </c>
      <c r="M7" s="14"/>
    </row>
    <row r="8" spans="3:8" ht="12.75">
      <c r="C8" s="3"/>
      <c r="E8" s="23"/>
      <c r="H8" s="23"/>
    </row>
    <row r="9" spans="5:12" ht="12.75">
      <c r="E9" s="23"/>
      <c r="H9" s="23"/>
      <c r="L9" s="11" t="s">
        <v>13</v>
      </c>
    </row>
    <row r="10" spans="3:13" ht="12.75">
      <c r="C10" s="4" t="s">
        <v>7</v>
      </c>
      <c r="D10" s="4" t="s">
        <v>8</v>
      </c>
      <c r="E10" s="23"/>
      <c r="F10" s="4" t="s">
        <v>7</v>
      </c>
      <c r="G10" s="4" t="s">
        <v>8</v>
      </c>
      <c r="H10" s="26"/>
      <c r="I10" s="4" t="s">
        <v>19</v>
      </c>
      <c r="J10" s="4"/>
      <c r="L10" s="11" t="s">
        <v>14</v>
      </c>
      <c r="M10" s="11" t="s">
        <v>16</v>
      </c>
    </row>
    <row r="11" spans="3:20" ht="12.75">
      <c r="C11" s="4" t="s">
        <v>5</v>
      </c>
      <c r="D11" s="4" t="s">
        <v>6</v>
      </c>
      <c r="E11" s="23"/>
      <c r="F11" s="4" t="s">
        <v>5</v>
      </c>
      <c r="G11" s="4" t="s">
        <v>6</v>
      </c>
      <c r="H11" s="26"/>
      <c r="I11" s="29" t="s">
        <v>20</v>
      </c>
      <c r="J11" s="29"/>
      <c r="L11" s="30" t="s">
        <v>15</v>
      </c>
      <c r="M11" s="20" t="s">
        <v>17</v>
      </c>
      <c r="O11" s="21" t="s">
        <v>18</v>
      </c>
      <c r="P11" s="22"/>
      <c r="Q11" s="22"/>
      <c r="R11" s="22"/>
      <c r="S11" s="22"/>
      <c r="T11" s="22"/>
    </row>
    <row r="12" spans="5:20" ht="12.75">
      <c r="E12" s="23"/>
      <c r="H12" s="23"/>
      <c r="L12" s="14"/>
      <c r="O12" s="31">
        <v>2007</v>
      </c>
      <c r="P12" s="31">
        <v>2008</v>
      </c>
      <c r="Q12" s="31">
        <v>2009</v>
      </c>
      <c r="R12" s="31">
        <v>2010</v>
      </c>
      <c r="S12" s="31">
        <v>2011</v>
      </c>
      <c r="T12" s="32" t="s">
        <v>4</v>
      </c>
    </row>
    <row r="13" spans="1:20" ht="12.75">
      <c r="A13" s="13">
        <v>1</v>
      </c>
      <c r="B13" s="5">
        <v>2007</v>
      </c>
      <c r="C13" s="2">
        <f>L3</f>
        <v>635651.9273193193</v>
      </c>
      <c r="D13" s="2">
        <v>0</v>
      </c>
      <c r="E13" s="23"/>
      <c r="F13" s="2">
        <f>C13</f>
        <v>635651.9273193193</v>
      </c>
      <c r="G13" s="2">
        <f>PMT(G6,G7,-F13)</f>
        <v>43736.278559660794</v>
      </c>
      <c r="H13" s="25"/>
      <c r="I13" s="2">
        <f>D13-G13</f>
        <v>-43736.278559660794</v>
      </c>
      <c r="J13" s="2"/>
      <c r="K13" s="3"/>
      <c r="L13" s="15">
        <f>C13*D$6</f>
        <v>16526.950110302303</v>
      </c>
      <c r="M13" s="7">
        <f>G13</f>
        <v>43736.278559660794</v>
      </c>
      <c r="O13" s="33"/>
      <c r="P13" s="33"/>
      <c r="Q13" s="33"/>
      <c r="R13" s="33"/>
      <c r="S13" s="34">
        <f>D17</f>
        <v>1064553.3606387493</v>
      </c>
      <c r="T13" s="34">
        <f>D48</f>
        <v>20226513.852136232</v>
      </c>
    </row>
    <row r="14" spans="1:20" ht="12.75">
      <c r="A14" s="13">
        <v>2</v>
      </c>
      <c r="B14" s="5">
        <v>2008</v>
      </c>
      <c r="C14" s="2">
        <f>L4</f>
        <v>2685972.7370064566</v>
      </c>
      <c r="D14" s="2">
        <v>0</v>
      </c>
      <c r="E14" s="23"/>
      <c r="F14" s="2">
        <f>C14</f>
        <v>2685972.7370064566</v>
      </c>
      <c r="G14" s="2">
        <f>PMT(G6,G7,-F14)+G13</f>
        <v>228545.67939760664</v>
      </c>
      <c r="H14" s="25"/>
      <c r="I14" s="2">
        <f aca="true" t="shared" si="0" ref="I14:I46">D14-G14</f>
        <v>-228545.67939760664</v>
      </c>
      <c r="J14" s="2"/>
      <c r="K14" s="3"/>
      <c r="L14" s="15">
        <f>(C14+L13)*D$6</f>
        <v>70264.99186503573</v>
      </c>
      <c r="M14" s="7">
        <f>G14-G13</f>
        <v>184809.40083794584</v>
      </c>
      <c r="O14" s="34">
        <f>G13</f>
        <v>43736.278559660794</v>
      </c>
      <c r="P14" s="34">
        <f>G14</f>
        <v>228545.67939760664</v>
      </c>
      <c r="Q14" s="34">
        <f>G15</f>
        <v>765442.4974978202</v>
      </c>
      <c r="R14" s="34">
        <f>G16</f>
        <v>1101974.1856918437</v>
      </c>
      <c r="S14" s="34">
        <f>R14</f>
        <v>1101974.1856918437</v>
      </c>
      <c r="T14" s="34">
        <f>G48</f>
        <v>29817552.743916553</v>
      </c>
    </row>
    <row r="15" spans="1:20" ht="12.75">
      <c r="A15" s="13">
        <v>3</v>
      </c>
      <c r="B15" s="5">
        <v>2009</v>
      </c>
      <c r="C15" s="2">
        <f>L5</f>
        <v>7803121.537454779</v>
      </c>
      <c r="D15" s="2">
        <v>0</v>
      </c>
      <c r="E15" s="23"/>
      <c r="F15" s="2">
        <f>C15</f>
        <v>7803121.537454779</v>
      </c>
      <c r="G15" s="2">
        <f>PMT(G6,G7,-F15)+G14</f>
        <v>765442.4974978202</v>
      </c>
      <c r="H15" s="25"/>
      <c r="I15" s="2">
        <f t="shared" si="0"/>
        <v>-765442.4974978202</v>
      </c>
      <c r="J15" s="2"/>
      <c r="K15" s="3"/>
      <c r="L15" s="15">
        <f>(C15+L14)*D$6</f>
        <v>204708.04976231518</v>
      </c>
      <c r="M15" s="7">
        <f>G15-G14</f>
        <v>536896.8181002135</v>
      </c>
      <c r="O15" s="34">
        <f aca="true" t="shared" si="1" ref="O15:T15">O13-O14</f>
        <v>-43736.278559660794</v>
      </c>
      <c r="P15" s="34">
        <f t="shared" si="1"/>
        <v>-228545.67939760664</v>
      </c>
      <c r="Q15" s="34">
        <f t="shared" si="1"/>
        <v>-765442.4974978202</v>
      </c>
      <c r="R15" s="34">
        <f t="shared" si="1"/>
        <v>-1101974.1856918437</v>
      </c>
      <c r="S15" s="34">
        <f t="shared" si="1"/>
        <v>-37420.82505309442</v>
      </c>
      <c r="T15" s="34">
        <f t="shared" si="1"/>
        <v>-9591038.89178032</v>
      </c>
    </row>
    <row r="16" spans="1:13" ht="12.75">
      <c r="A16" s="13">
        <v>4</v>
      </c>
      <c r="B16" s="5">
        <v>2010</v>
      </c>
      <c r="C16" s="2">
        <f>L6</f>
        <v>4891065.798219443</v>
      </c>
      <c r="D16" s="2">
        <v>0</v>
      </c>
      <c r="E16" s="23"/>
      <c r="F16" s="2">
        <f>C16</f>
        <v>4891065.798219443</v>
      </c>
      <c r="G16" s="2">
        <f>PMT(G6,G7,-F16)+G15</f>
        <v>1101974.1856918437</v>
      </c>
      <c r="H16" s="25"/>
      <c r="I16" s="2">
        <f t="shared" si="0"/>
        <v>-1101974.1856918437</v>
      </c>
      <c r="J16" s="2"/>
      <c r="K16" s="3"/>
      <c r="L16" s="15">
        <f>(C16+L15)*D$6</f>
        <v>132490.1200475257</v>
      </c>
      <c r="M16" s="7">
        <f>G16-G15</f>
        <v>336531.68819402356</v>
      </c>
    </row>
    <row r="17" spans="1:19" ht="12.75">
      <c r="A17" s="13">
        <v>5</v>
      </c>
      <c r="B17" s="5">
        <v>2011</v>
      </c>
      <c r="C17" s="3"/>
      <c r="D17" s="3">
        <f>PMT(D6,D7,-SUM(C13:C16,L13:L16))</f>
        <v>1064553.3606387493</v>
      </c>
      <c r="E17" s="23"/>
      <c r="G17" s="3">
        <f>G16</f>
        <v>1101974.1856918437</v>
      </c>
      <c r="H17" s="27"/>
      <c r="I17" s="2">
        <f t="shared" si="0"/>
        <v>-37420.82505309442</v>
      </c>
      <c r="J17" s="2"/>
      <c r="K17" s="3"/>
      <c r="M17" s="7"/>
      <c r="N17" s="8"/>
      <c r="O17" s="9"/>
      <c r="P17" s="9"/>
      <c r="Q17" s="9"/>
      <c r="R17" s="9"/>
      <c r="S17" s="8"/>
    </row>
    <row r="18" spans="1:19" ht="12.75">
      <c r="A18" s="13">
        <v>6</v>
      </c>
      <c r="B18" s="5">
        <v>2012</v>
      </c>
      <c r="C18" s="3"/>
      <c r="D18" s="3">
        <f>D17</f>
        <v>1064553.3606387493</v>
      </c>
      <c r="E18" s="23"/>
      <c r="G18" s="3">
        <f>G17</f>
        <v>1101974.1856918437</v>
      </c>
      <c r="H18" s="27"/>
      <c r="I18" s="2">
        <f t="shared" si="0"/>
        <v>-37420.82505309442</v>
      </c>
      <c r="J18" s="2"/>
      <c r="K18" s="3"/>
      <c r="L18" s="7" t="s">
        <v>21</v>
      </c>
      <c r="M18" s="3"/>
      <c r="N18" s="9"/>
      <c r="O18" s="9"/>
      <c r="P18" s="9"/>
      <c r="Q18" s="9"/>
      <c r="R18" s="9"/>
      <c r="S18" s="9"/>
    </row>
    <row r="19" spans="1:12" ht="12.75">
      <c r="A19" s="13">
        <v>7</v>
      </c>
      <c r="B19" s="5">
        <v>2013</v>
      </c>
      <c r="C19" s="3"/>
      <c r="D19" s="3">
        <f aca="true" t="shared" si="2" ref="D19:D36">D18</f>
        <v>1064553.3606387493</v>
      </c>
      <c r="E19" s="23"/>
      <c r="G19" s="3">
        <f>G18</f>
        <v>1101974.1856918437</v>
      </c>
      <c r="H19" s="27"/>
      <c r="I19" s="2">
        <f t="shared" si="0"/>
        <v>-37420.82505309442</v>
      </c>
      <c r="J19" s="2"/>
      <c r="K19" s="3"/>
      <c r="L19" s="14" t="s">
        <v>22</v>
      </c>
    </row>
    <row r="20" spans="1:12" ht="12.75">
      <c r="A20" s="13">
        <v>8</v>
      </c>
      <c r="B20" s="5">
        <v>2014</v>
      </c>
      <c r="C20" s="3"/>
      <c r="D20" s="3">
        <f t="shared" si="2"/>
        <v>1064553.3606387493</v>
      </c>
      <c r="E20" s="23"/>
      <c r="G20" s="3">
        <f aca="true" t="shared" si="3" ref="G20:G42">G19</f>
        <v>1101974.1856918437</v>
      </c>
      <c r="H20" s="27"/>
      <c r="I20" s="2">
        <f t="shared" si="0"/>
        <v>-37420.82505309442</v>
      </c>
      <c r="J20" s="2"/>
      <c r="K20" s="3"/>
      <c r="L20" s="14" t="s">
        <v>23</v>
      </c>
    </row>
    <row r="21" spans="1:11" ht="12.75">
      <c r="A21" s="13">
        <v>9</v>
      </c>
      <c r="B21" s="5">
        <v>2015</v>
      </c>
      <c r="C21" s="3"/>
      <c r="D21" s="3">
        <f t="shared" si="2"/>
        <v>1064553.3606387493</v>
      </c>
      <c r="E21" s="23"/>
      <c r="G21" s="3">
        <f t="shared" si="3"/>
        <v>1101974.1856918437</v>
      </c>
      <c r="H21" s="27"/>
      <c r="I21" s="2">
        <f t="shared" si="0"/>
        <v>-37420.82505309442</v>
      </c>
      <c r="J21" s="2"/>
      <c r="K21" s="3"/>
    </row>
    <row r="22" spans="1:18" ht="12.75">
      <c r="A22" s="13">
        <v>10</v>
      </c>
      <c r="B22" s="5">
        <v>2016</v>
      </c>
      <c r="C22" s="3"/>
      <c r="D22" s="3">
        <f t="shared" si="2"/>
        <v>1064553.3606387493</v>
      </c>
      <c r="E22" s="23"/>
      <c r="G22" s="3">
        <f t="shared" si="3"/>
        <v>1101974.1856918437</v>
      </c>
      <c r="H22" s="27"/>
      <c r="I22" s="2">
        <f t="shared" si="0"/>
        <v>-37420.82505309442</v>
      </c>
      <c r="J22" s="2"/>
      <c r="K22" s="3"/>
      <c r="O22" s="14">
        <v>635651.9273193193</v>
      </c>
      <c r="P22" s="14">
        <v>2685972.7370064566</v>
      </c>
      <c r="Q22" s="14">
        <v>7803121.537454779</v>
      </c>
      <c r="R22" s="14">
        <v>4891065.798219443</v>
      </c>
    </row>
    <row r="23" spans="1:18" ht="12.75">
      <c r="A23" s="13">
        <v>11</v>
      </c>
      <c r="B23" s="5">
        <v>2017</v>
      </c>
      <c r="C23" s="3"/>
      <c r="D23" s="3">
        <f t="shared" si="2"/>
        <v>1064553.3606387493</v>
      </c>
      <c r="E23" s="23"/>
      <c r="G23" s="3">
        <f t="shared" si="3"/>
        <v>1101974.1856918437</v>
      </c>
      <c r="H23" s="27"/>
      <c r="I23" s="2">
        <f t="shared" si="0"/>
        <v>-37420.82505309442</v>
      </c>
      <c r="J23" s="2"/>
      <c r="K23" s="3"/>
      <c r="N23" s="35" t="s">
        <v>28</v>
      </c>
      <c r="O23" s="34">
        <f>ROUND(O22,0)</f>
        <v>635652</v>
      </c>
      <c r="P23" s="34">
        <f>ROUND(P22,0)</f>
        <v>2685973</v>
      </c>
      <c r="Q23" s="34">
        <f>ROUND(Q22,0)</f>
        <v>7803122</v>
      </c>
      <c r="R23" s="34">
        <f>ROUND(R22,0)</f>
        <v>4891066</v>
      </c>
    </row>
    <row r="24" spans="1:11" ht="12.75">
      <c r="A24" s="13">
        <v>12</v>
      </c>
      <c r="B24" s="5">
        <v>2018</v>
      </c>
      <c r="C24" s="3"/>
      <c r="D24" s="3">
        <f t="shared" si="2"/>
        <v>1064553.3606387493</v>
      </c>
      <c r="E24" s="23"/>
      <c r="G24" s="3">
        <f t="shared" si="3"/>
        <v>1101974.1856918437</v>
      </c>
      <c r="H24" s="27"/>
      <c r="I24" s="2">
        <f t="shared" si="0"/>
        <v>-37420.82505309442</v>
      </c>
      <c r="J24" s="2"/>
      <c r="K24" s="3"/>
    </row>
    <row r="25" spans="1:11" ht="12.75">
      <c r="A25" s="13">
        <v>13</v>
      </c>
      <c r="B25" s="5">
        <v>2019</v>
      </c>
      <c r="C25" s="3"/>
      <c r="D25" s="3">
        <f t="shared" si="2"/>
        <v>1064553.3606387493</v>
      </c>
      <c r="E25" s="23"/>
      <c r="G25" s="3">
        <f t="shared" si="3"/>
        <v>1101974.1856918437</v>
      </c>
      <c r="H25" s="27"/>
      <c r="I25" s="2">
        <f t="shared" si="0"/>
        <v>-37420.82505309442</v>
      </c>
      <c r="J25" s="2"/>
      <c r="K25" s="3"/>
    </row>
    <row r="26" spans="1:11" ht="12.75">
      <c r="A26" s="13">
        <v>14</v>
      </c>
      <c r="B26" s="5">
        <v>2020</v>
      </c>
      <c r="C26" s="3"/>
      <c r="D26" s="3">
        <f t="shared" si="2"/>
        <v>1064553.3606387493</v>
      </c>
      <c r="E26" s="23"/>
      <c r="G26" s="3">
        <f t="shared" si="3"/>
        <v>1101974.1856918437</v>
      </c>
      <c r="H26" s="27"/>
      <c r="I26" s="2">
        <f t="shared" si="0"/>
        <v>-37420.82505309442</v>
      </c>
      <c r="J26" s="2"/>
      <c r="K26" s="3"/>
    </row>
    <row r="27" spans="1:11" ht="12.75">
      <c r="A27" s="13">
        <v>15</v>
      </c>
      <c r="B27" s="5">
        <v>2021</v>
      </c>
      <c r="C27" s="3"/>
      <c r="D27" s="3">
        <f t="shared" si="2"/>
        <v>1064553.3606387493</v>
      </c>
      <c r="E27" s="23"/>
      <c r="G27" s="3">
        <f t="shared" si="3"/>
        <v>1101974.1856918437</v>
      </c>
      <c r="H27" s="27"/>
      <c r="I27" s="2">
        <f t="shared" si="0"/>
        <v>-37420.82505309442</v>
      </c>
      <c r="J27" s="2"/>
      <c r="K27" s="3"/>
    </row>
    <row r="28" spans="1:11" ht="12.75">
      <c r="A28" s="13">
        <v>16</v>
      </c>
      <c r="B28" s="5">
        <v>2022</v>
      </c>
      <c r="C28" s="3"/>
      <c r="D28" s="3">
        <f t="shared" si="2"/>
        <v>1064553.3606387493</v>
      </c>
      <c r="E28" s="23"/>
      <c r="G28" s="3">
        <f t="shared" si="3"/>
        <v>1101974.1856918437</v>
      </c>
      <c r="H28" s="27"/>
      <c r="I28" s="2">
        <f t="shared" si="0"/>
        <v>-37420.82505309442</v>
      </c>
      <c r="J28" s="2"/>
      <c r="K28" s="3"/>
    </row>
    <row r="29" spans="1:11" ht="12.75">
      <c r="A29" s="13">
        <v>17</v>
      </c>
      <c r="B29" s="5">
        <v>2023</v>
      </c>
      <c r="C29" s="3"/>
      <c r="D29" s="3">
        <f t="shared" si="2"/>
        <v>1064553.3606387493</v>
      </c>
      <c r="E29" s="23"/>
      <c r="G29" s="3">
        <f t="shared" si="3"/>
        <v>1101974.1856918437</v>
      </c>
      <c r="H29" s="27"/>
      <c r="I29" s="2">
        <f t="shared" si="0"/>
        <v>-37420.82505309442</v>
      </c>
      <c r="J29" s="2"/>
      <c r="K29" s="3"/>
    </row>
    <row r="30" spans="1:11" ht="12.75">
      <c r="A30" s="13">
        <v>18</v>
      </c>
      <c r="B30" s="5">
        <v>2024</v>
      </c>
      <c r="C30" s="3"/>
      <c r="D30" s="3">
        <f t="shared" si="2"/>
        <v>1064553.3606387493</v>
      </c>
      <c r="E30" s="23"/>
      <c r="G30" s="3">
        <f t="shared" si="3"/>
        <v>1101974.1856918437</v>
      </c>
      <c r="H30" s="27"/>
      <c r="I30" s="2">
        <f t="shared" si="0"/>
        <v>-37420.82505309442</v>
      </c>
      <c r="J30" s="2"/>
      <c r="K30" s="3"/>
    </row>
    <row r="31" spans="1:11" ht="12.75">
      <c r="A31" s="13">
        <v>19</v>
      </c>
      <c r="B31" s="5">
        <v>2025</v>
      </c>
      <c r="C31" s="3"/>
      <c r="D31" s="3">
        <f t="shared" si="2"/>
        <v>1064553.3606387493</v>
      </c>
      <c r="E31" s="23"/>
      <c r="G31" s="3">
        <f t="shared" si="3"/>
        <v>1101974.1856918437</v>
      </c>
      <c r="H31" s="27"/>
      <c r="I31" s="2">
        <f t="shared" si="0"/>
        <v>-37420.82505309442</v>
      </c>
      <c r="J31" s="2"/>
      <c r="K31" s="3"/>
    </row>
    <row r="32" spans="1:11" ht="12.75">
      <c r="A32" s="13">
        <v>20</v>
      </c>
      <c r="B32" s="5">
        <v>2026</v>
      </c>
      <c r="C32" s="3"/>
      <c r="D32" s="3">
        <f t="shared" si="2"/>
        <v>1064553.3606387493</v>
      </c>
      <c r="E32" s="23"/>
      <c r="G32" s="3">
        <f t="shared" si="3"/>
        <v>1101974.1856918437</v>
      </c>
      <c r="H32" s="27"/>
      <c r="I32" s="2">
        <f t="shared" si="0"/>
        <v>-37420.82505309442</v>
      </c>
      <c r="J32" s="2"/>
      <c r="K32" s="3"/>
    </row>
    <row r="33" spans="1:11" ht="12.75">
      <c r="A33" s="13">
        <v>21</v>
      </c>
      <c r="B33" s="5">
        <v>2027</v>
      </c>
      <c r="D33" s="3">
        <f t="shared" si="2"/>
        <v>1064553.3606387493</v>
      </c>
      <c r="E33" s="23"/>
      <c r="G33" s="3">
        <f t="shared" si="3"/>
        <v>1101974.1856918437</v>
      </c>
      <c r="H33" s="27"/>
      <c r="I33" s="2">
        <f t="shared" si="0"/>
        <v>-37420.82505309442</v>
      </c>
      <c r="J33" s="2"/>
      <c r="K33" s="3"/>
    </row>
    <row r="34" spans="1:11" ht="12.75">
      <c r="A34" s="13">
        <v>22</v>
      </c>
      <c r="B34" s="5">
        <v>2028</v>
      </c>
      <c r="D34" s="3">
        <f t="shared" si="2"/>
        <v>1064553.3606387493</v>
      </c>
      <c r="E34" s="23"/>
      <c r="G34" s="3">
        <f t="shared" si="3"/>
        <v>1101974.1856918437</v>
      </c>
      <c r="H34" s="27"/>
      <c r="I34" s="2">
        <f t="shared" si="0"/>
        <v>-37420.82505309442</v>
      </c>
      <c r="J34" s="2"/>
      <c r="K34" s="3"/>
    </row>
    <row r="35" spans="1:11" ht="12.75">
      <c r="A35" s="13">
        <v>23</v>
      </c>
      <c r="B35" s="5">
        <v>2029</v>
      </c>
      <c r="D35" s="3">
        <f t="shared" si="2"/>
        <v>1064553.3606387493</v>
      </c>
      <c r="E35" s="23"/>
      <c r="G35" s="3">
        <f t="shared" si="3"/>
        <v>1101974.1856918437</v>
      </c>
      <c r="H35" s="27"/>
      <c r="I35" s="2">
        <f t="shared" si="0"/>
        <v>-37420.82505309442</v>
      </c>
      <c r="J35" s="2"/>
      <c r="K35" s="3"/>
    </row>
    <row r="36" spans="1:11" ht="12.75">
      <c r="A36" s="13">
        <v>24</v>
      </c>
      <c r="B36" s="5">
        <v>2030</v>
      </c>
      <c r="D36" s="3">
        <f t="shared" si="2"/>
        <v>1064553.3606387493</v>
      </c>
      <c r="E36" s="23"/>
      <c r="G36" s="3">
        <f t="shared" si="3"/>
        <v>1101974.1856918437</v>
      </c>
      <c r="H36" s="27"/>
      <c r="I36" s="2">
        <f t="shared" si="0"/>
        <v>-37420.82505309442</v>
      </c>
      <c r="J36" s="2"/>
      <c r="K36" s="3"/>
    </row>
    <row r="37" spans="1:11" ht="12.75">
      <c r="A37" s="13">
        <v>25</v>
      </c>
      <c r="B37" s="5">
        <v>2031</v>
      </c>
      <c r="D37" s="2">
        <v>0</v>
      </c>
      <c r="E37" s="23"/>
      <c r="G37" s="3">
        <f t="shared" si="3"/>
        <v>1101974.1856918437</v>
      </c>
      <c r="H37" s="27"/>
      <c r="I37" s="2">
        <f>D37-G37</f>
        <v>-1101974.1856918437</v>
      </c>
      <c r="J37" s="2"/>
      <c r="K37" s="3"/>
    </row>
    <row r="38" spans="1:11" ht="12.75">
      <c r="A38" s="13">
        <v>26</v>
      </c>
      <c r="B38" s="5">
        <v>2032</v>
      </c>
      <c r="D38" s="2">
        <v>0</v>
      </c>
      <c r="E38" s="23"/>
      <c r="G38" s="3">
        <f t="shared" si="3"/>
        <v>1101974.1856918437</v>
      </c>
      <c r="H38" s="27"/>
      <c r="I38" s="2">
        <f t="shared" si="0"/>
        <v>-1101974.1856918437</v>
      </c>
      <c r="J38" s="2"/>
      <c r="K38" s="3"/>
    </row>
    <row r="39" spans="1:11" ht="12.75">
      <c r="A39" s="13">
        <v>27</v>
      </c>
      <c r="B39" s="5">
        <v>2033</v>
      </c>
      <c r="D39" s="2">
        <v>0</v>
      </c>
      <c r="E39" s="23"/>
      <c r="G39" s="3">
        <f t="shared" si="3"/>
        <v>1101974.1856918437</v>
      </c>
      <c r="H39" s="27"/>
      <c r="I39" s="2">
        <f t="shared" si="0"/>
        <v>-1101974.1856918437</v>
      </c>
      <c r="J39" s="2"/>
      <c r="K39" s="3"/>
    </row>
    <row r="40" spans="1:11" ht="12.75">
      <c r="A40" s="13">
        <v>28</v>
      </c>
      <c r="B40" s="5">
        <v>2034</v>
      </c>
      <c r="D40" s="2">
        <v>0</v>
      </c>
      <c r="E40" s="23"/>
      <c r="G40" s="3">
        <f t="shared" si="3"/>
        <v>1101974.1856918437</v>
      </c>
      <c r="H40" s="27"/>
      <c r="I40" s="2">
        <f t="shared" si="0"/>
        <v>-1101974.1856918437</v>
      </c>
      <c r="J40" s="2"/>
      <c r="K40" s="3"/>
    </row>
    <row r="41" spans="1:11" ht="12.75">
      <c r="A41" s="13">
        <v>29</v>
      </c>
      <c r="B41" s="5">
        <v>2035</v>
      </c>
      <c r="D41" s="2">
        <v>0</v>
      </c>
      <c r="E41" s="23"/>
      <c r="G41" s="3">
        <f t="shared" si="3"/>
        <v>1101974.1856918437</v>
      </c>
      <c r="H41" s="27"/>
      <c r="I41" s="2">
        <f t="shared" si="0"/>
        <v>-1101974.1856918437</v>
      </c>
      <c r="J41" s="2"/>
      <c r="K41" s="3"/>
    </row>
    <row r="42" spans="1:11" ht="12.75">
      <c r="A42" s="13">
        <v>30</v>
      </c>
      <c r="B42" s="5">
        <v>2036</v>
      </c>
      <c r="D42" s="2">
        <v>0</v>
      </c>
      <c r="E42" s="23"/>
      <c r="G42" s="3">
        <f t="shared" si="3"/>
        <v>1101974.1856918437</v>
      </c>
      <c r="H42" s="27"/>
      <c r="I42" s="2">
        <f t="shared" si="0"/>
        <v>-1101974.1856918437</v>
      </c>
      <c r="J42" s="2"/>
      <c r="K42" s="3"/>
    </row>
    <row r="43" spans="1:13" ht="12.75">
      <c r="A43" s="13">
        <v>31</v>
      </c>
      <c r="B43" s="5">
        <v>2037</v>
      </c>
      <c r="D43" s="2">
        <v>0</v>
      </c>
      <c r="E43" s="23"/>
      <c r="G43" s="3">
        <f>G$42-G13</f>
        <v>1058237.907132183</v>
      </c>
      <c r="H43" s="27"/>
      <c r="I43" s="2">
        <f t="shared" si="0"/>
        <v>-1058237.907132183</v>
      </c>
      <c r="J43" s="2"/>
      <c r="K43" s="3"/>
      <c r="M43" s="7">
        <f>G42-G43</f>
        <v>43736.27855966077</v>
      </c>
    </row>
    <row r="44" spans="1:13" ht="12.75">
      <c r="A44" s="13">
        <v>32</v>
      </c>
      <c r="B44" s="5">
        <v>2038</v>
      </c>
      <c r="D44" s="2">
        <v>0</v>
      </c>
      <c r="E44" s="23"/>
      <c r="G44" s="3">
        <f>G$42-G14</f>
        <v>873428.5062942371</v>
      </c>
      <c r="H44" s="27"/>
      <c r="I44" s="2">
        <f t="shared" si="0"/>
        <v>-873428.5062942371</v>
      </c>
      <c r="J44" s="2"/>
      <c r="K44" s="3"/>
      <c r="M44" s="7">
        <f>G43-G44</f>
        <v>184809.40083794587</v>
      </c>
    </row>
    <row r="45" spans="1:13" ht="12.75">
      <c r="A45" s="13">
        <v>33</v>
      </c>
      <c r="B45" s="5">
        <v>2039</v>
      </c>
      <c r="D45" s="2">
        <v>0</v>
      </c>
      <c r="E45" s="23"/>
      <c r="G45" s="3">
        <f>G$42-G15</f>
        <v>336531.68819402356</v>
      </c>
      <c r="H45" s="27"/>
      <c r="I45" s="2">
        <f t="shared" si="0"/>
        <v>-336531.68819402356</v>
      </c>
      <c r="J45" s="2"/>
      <c r="K45" s="3"/>
      <c r="M45" s="7">
        <f>G44-G45</f>
        <v>536896.8181002135</v>
      </c>
    </row>
    <row r="46" spans="1:13" ht="12.75">
      <c r="A46" s="13">
        <v>34</v>
      </c>
      <c r="B46" s="5">
        <v>2040</v>
      </c>
      <c r="D46" s="2">
        <v>0</v>
      </c>
      <c r="E46" s="23"/>
      <c r="G46" s="3">
        <v>0</v>
      </c>
      <c r="H46" s="27"/>
      <c r="I46" s="2">
        <f t="shared" si="0"/>
        <v>0</v>
      </c>
      <c r="J46" s="2"/>
      <c r="K46" s="3"/>
      <c r="M46" s="7">
        <f>G45-G46</f>
        <v>336531.68819402356</v>
      </c>
    </row>
    <row r="47" spans="2:11" ht="19.5" customHeight="1">
      <c r="B47" s="10" t="s">
        <v>9</v>
      </c>
      <c r="D47" s="2">
        <f>NPV($G6,D13:D45)</f>
        <v>10269265.976286946</v>
      </c>
      <c r="E47" s="23"/>
      <c r="G47" s="2">
        <f>NPV($G6,G13:G45)</f>
        <v>14357629.511221828</v>
      </c>
      <c r="H47" s="25"/>
      <c r="I47" s="3">
        <f>G47-D47</f>
        <v>4088363.534934882</v>
      </c>
      <c r="J47" s="3"/>
      <c r="K47" s="3"/>
    </row>
    <row r="48" spans="2:10" ht="17.25" customHeight="1">
      <c r="B48" s="6" t="s">
        <v>10</v>
      </c>
      <c r="D48" s="2">
        <f>SUM(D18:D46)</f>
        <v>20226513.852136232</v>
      </c>
      <c r="E48" s="23"/>
      <c r="G48" s="2">
        <f>SUM(G18:G46)</f>
        <v>29817552.743916553</v>
      </c>
      <c r="H48" s="25"/>
      <c r="I48" s="2">
        <f>SUM(I18:I46)</f>
        <v>-9591038.8917803</v>
      </c>
      <c r="J48" s="2"/>
    </row>
    <row r="50" spans="3:10" ht="12.75">
      <c r="C50" s="3">
        <f>SUM(C13:C16)</f>
        <v>16015812</v>
      </c>
      <c r="F50" s="14" t="s">
        <v>11</v>
      </c>
      <c r="G50" s="15">
        <f>NPV($G6,F14:F16)+F13</f>
        <v>14357629.511221819</v>
      </c>
      <c r="H50" s="15"/>
      <c r="I50" s="15"/>
      <c r="J50" s="15"/>
    </row>
  </sheetData>
  <printOptions/>
  <pageMargins left="1" right="0.75" top="1" bottom="0.5" header="0.5" footer="0.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140625" defaultRowHeight="12.75"/>
  <sheetData/>
  <printOptions/>
  <pageMargins left="0.75" right="0.75" top="1" bottom="0.75" header="0.5" footer="0.4"/>
  <pageSetup horizontalDpi="600" verticalDpi="600" orientation="portrait" r:id="rId1"/>
  <headerFooter alignWithMargins="0">
    <oddFooter>&amp;R&amp;9&amp;F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/>
  <pageMargins left="0.75" right="0.75" top="1" bottom="0.75" header="0.5" footer="0.4"/>
  <pageSetup horizontalDpi="600" verticalDpi="600" orientation="portrait" r:id="rId1"/>
  <headerFooter alignWithMargins="0">
    <oddFooter>&amp;R&amp;9&amp;F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140625" defaultRowHeight="12.75"/>
  <sheetData/>
  <printOptions/>
  <pageMargins left="0.75" right="0.75" top="1" bottom="0.75" header="0.5" footer="0.4"/>
  <pageSetup horizontalDpi="600" verticalDpi="600" orientation="portrait" r:id="rId1"/>
  <headerFooter alignWithMargins="0">
    <oddFooter>&amp;R&amp;9&amp;F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gholman</dc:creator>
  <cp:keywords/>
  <dc:description/>
  <cp:lastModifiedBy>Allende-Foss, Angel</cp:lastModifiedBy>
  <cp:lastPrinted>2006-09-13T22:34:19Z</cp:lastPrinted>
  <dcterms:created xsi:type="dcterms:W3CDTF">2003-09-16T18:14:52Z</dcterms:created>
  <dcterms:modified xsi:type="dcterms:W3CDTF">2006-10-05T17:04:48Z</dcterms:modified>
  <cp:category/>
  <cp:version/>
  <cp:contentType/>
  <cp:contentStatus/>
</cp:coreProperties>
</file>