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harts/colors5.xml" ContentType="application/vnd.ms-office.chartcolorstyle+xml"/>
  <Override PartName="/xl/charts/style5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525" windowHeight="12435" firstSheet="3" activeTab="3"/>
  </bookViews>
  <sheets>
    <sheet name="PT_19-20_17-18act" sheetId="2" state="hidden" r:id="rId1"/>
    <sheet name="2017-18v2019-20" sheetId="1" state="hidden" r:id="rId2"/>
    <sheet name="PT_15-16_17-18_19-20" sheetId="4" state="hidden" r:id="rId3"/>
    <sheet name="15-16 v 17-18 v 19-20" sheetId="3" r:id="rId4"/>
  </sheets>
  <definedNames>
    <definedName name="_xlnm.Print_Titles" localSheetId="3">'15-16 v 17-18 v 19-20'!$1:$2</definedName>
  </definedNames>
  <calcPr calcId="152511"/>
  <pivotCaches>
    <pivotCache cacheId="0" r:id="rId5"/>
    <pivotCache cacheId="1" r:id="rId6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<sst xmlns="http://schemas.openxmlformats.org/spreadsheetml/2006/main" count="430" uniqueCount="164">
  <si>
    <t>MIDD II Number</t>
  </si>
  <si>
    <t>MIDD 2 Initiative Title</t>
  </si>
  <si>
    <t>2017-2018 Estimated Total Expenditures</t>
  </si>
  <si>
    <t>2019-2020 Total by Initiative</t>
  </si>
  <si>
    <t>ADM</t>
  </si>
  <si>
    <t xml:space="preserve">Administration &amp; Evaluation </t>
  </si>
  <si>
    <t>CD-01</t>
  </si>
  <si>
    <t>Law Enforcement Assisted Diversion (LEAD)</t>
  </si>
  <si>
    <t>CD-02</t>
  </si>
  <si>
    <t>Youth Detention Prevention BH Engagement</t>
  </si>
  <si>
    <t>CD-03</t>
  </si>
  <si>
    <t>Outreach &amp; In reach System of Care</t>
  </si>
  <si>
    <t>CD-04</t>
  </si>
  <si>
    <t>South County Crisis Diversion Services/Center</t>
  </si>
  <si>
    <t>CD-05</t>
  </si>
  <si>
    <t>High Utilizer Care Teams</t>
  </si>
  <si>
    <t>CD-06</t>
  </si>
  <si>
    <t>Adult Crisis Diversion Center, Respite Beds and Mobile Behavioral Health Crisis Team</t>
  </si>
  <si>
    <t>CD-07</t>
  </si>
  <si>
    <t>Multipronged Opioid Strategies</t>
  </si>
  <si>
    <t>CD-08</t>
  </si>
  <si>
    <t>Children's Domestic Violence Response Team</t>
  </si>
  <si>
    <t>CD-09</t>
  </si>
  <si>
    <t>NEW Behavioral Health Urgent Care-Walk In Clinic Pilot</t>
  </si>
  <si>
    <t>CD-10</t>
  </si>
  <si>
    <t>Next Day Crisis Appointments</t>
  </si>
  <si>
    <t>CD-11</t>
  </si>
  <si>
    <t>Children's Crisis Outreach and Response System - CCORS</t>
  </si>
  <si>
    <t>CD-12</t>
  </si>
  <si>
    <t>Parent Partners Family Assistance</t>
  </si>
  <si>
    <t>CD-13</t>
  </si>
  <si>
    <t>Family Intervention Restorative Services - FIRS</t>
  </si>
  <si>
    <t>CD-14</t>
  </si>
  <si>
    <t>Involuntary Treatment Triage Pilot</t>
  </si>
  <si>
    <t>CD-15</t>
  </si>
  <si>
    <t>Wraparound Services for Youth</t>
  </si>
  <si>
    <t>CD-16</t>
  </si>
  <si>
    <t>Youth Respite Alternatives</t>
  </si>
  <si>
    <t>CD-17</t>
  </si>
  <si>
    <t>Young Adult Crisis Stabilization</t>
  </si>
  <si>
    <t>PRI-01</t>
  </si>
  <si>
    <t>Screening, Brief Intervention and Referral To Treatment-SBIRT</t>
  </si>
  <si>
    <t>PRI-02</t>
  </si>
  <si>
    <t>Juvenile Justice Youth Behavioral Health Assessments</t>
  </si>
  <si>
    <t>PRI-03</t>
  </si>
  <si>
    <t>Prevention and Early Intervention Behavioral Health for Adults Over 50</t>
  </si>
  <si>
    <t>PRI-04</t>
  </si>
  <si>
    <t>Older Adult Crisis Intervention/Geriatric Regional Assessment Team - GRAT</t>
  </si>
  <si>
    <t>PRI-05</t>
  </si>
  <si>
    <t>School-Based SBIRT (Screening, Brief Intervention and Referral to Treatment)</t>
  </si>
  <si>
    <t>PRI-06</t>
  </si>
  <si>
    <t>Zero Suicide Initiative Pilot</t>
  </si>
  <si>
    <t>PRI-07</t>
  </si>
  <si>
    <t>Mental Health First Aid</t>
  </si>
  <si>
    <t>PRI-08</t>
  </si>
  <si>
    <t>Crisis Intervention Training - First Responders</t>
  </si>
  <si>
    <t>PRI-09</t>
  </si>
  <si>
    <t>Sexual Assault Behavioral Health Services</t>
  </si>
  <si>
    <t>PRI-10</t>
  </si>
  <si>
    <t>Domestic Violence and Behavioral Health Services &amp; System Coordination</t>
  </si>
  <si>
    <t>PRI-11</t>
  </si>
  <si>
    <t>Community Behavioral Health Treatment</t>
  </si>
  <si>
    <t>RR-01</t>
  </si>
  <si>
    <t>Housing Supportive Services</t>
  </si>
  <si>
    <t>RR-02</t>
  </si>
  <si>
    <t>Behavior Modification Classes at CCAP</t>
  </si>
  <si>
    <t>RR-03</t>
  </si>
  <si>
    <t>Housing Capital and Rental</t>
  </si>
  <si>
    <t>RR-04</t>
  </si>
  <si>
    <t>Rapid Rehousing-Oxford House Model</t>
  </si>
  <si>
    <t>RR-05</t>
  </si>
  <si>
    <t>Housing Vouchers for Adult Drug Court</t>
  </si>
  <si>
    <t>RR-06</t>
  </si>
  <si>
    <t>Jail Reentry System of Care</t>
  </si>
  <si>
    <t>RR-07</t>
  </si>
  <si>
    <t>Behavioral Health Risk Assessment Tool for Adult Detention</t>
  </si>
  <si>
    <t>RR-08</t>
  </si>
  <si>
    <t>Hospital Re-Entry Respite Beds</t>
  </si>
  <si>
    <t>RR-09</t>
  </si>
  <si>
    <t>Recovery Café</t>
  </si>
  <si>
    <t>RR-10</t>
  </si>
  <si>
    <t>BH Employment Services &amp; Supported Employment</t>
  </si>
  <si>
    <t>RR-11A</t>
  </si>
  <si>
    <t xml:space="preserve">RR-11a Peer Bridger Programs/RR-11b SUD Peer Support </t>
  </si>
  <si>
    <t>RR-11B</t>
  </si>
  <si>
    <t>SUD Peer Support</t>
  </si>
  <si>
    <t>RR-12</t>
  </si>
  <si>
    <t>Jail-based SUD Treatment</t>
  </si>
  <si>
    <t>RR-13</t>
  </si>
  <si>
    <t>Familiar Faces</t>
  </si>
  <si>
    <t>RR-14</t>
  </si>
  <si>
    <t>Shelter Navigation Services</t>
  </si>
  <si>
    <t>SI-01</t>
  </si>
  <si>
    <t xml:space="preserve">Community Driven Behavioral Health Grants </t>
  </si>
  <si>
    <t>SI-02</t>
  </si>
  <si>
    <t>Rural BH Grants</t>
  </si>
  <si>
    <t>SI-03</t>
  </si>
  <si>
    <t>Workload Reduction</t>
  </si>
  <si>
    <t>SI-04</t>
  </si>
  <si>
    <t>Workforce Development</t>
  </si>
  <si>
    <t>SI-05</t>
  </si>
  <si>
    <t>Emerging Needs Initiative</t>
  </si>
  <si>
    <t>TX-ADC</t>
  </si>
  <si>
    <t>Adult Drug Court</t>
  </si>
  <si>
    <t>TX-FTC</t>
  </si>
  <si>
    <t>Family Treatment Court</t>
  </si>
  <si>
    <t>TX-JDC</t>
  </si>
  <si>
    <t>Juvenile Drug Court</t>
  </si>
  <si>
    <t>TX-RMHC</t>
  </si>
  <si>
    <t>Regional MH Court and Regional Veterans’ Court</t>
  </si>
  <si>
    <t>TX-SMC</t>
  </si>
  <si>
    <t>Seattle Mental Health Municipal Court</t>
  </si>
  <si>
    <t>TX-CCPL</t>
  </si>
  <si>
    <t>Community Court Planning and Pilot</t>
  </si>
  <si>
    <t>SP-01</t>
  </si>
  <si>
    <t>MIDD Strategy Area</t>
  </si>
  <si>
    <t>CD</t>
  </si>
  <si>
    <t>PRI</t>
  </si>
  <si>
    <t>RR</t>
  </si>
  <si>
    <t>SI</t>
  </si>
  <si>
    <t>TX</t>
  </si>
  <si>
    <t>Row Labels</t>
  </si>
  <si>
    <t>Grand Total</t>
  </si>
  <si>
    <t>Sum of 2019-2020 Total by Initiative</t>
  </si>
  <si>
    <t>Sum of 2017-2018 Estimated Total Expenditures</t>
  </si>
  <si>
    <t>SP</t>
  </si>
  <si>
    <t>Due to full ramp up during the 2017-2018 biennium and expansion in 2019-2020.</t>
  </si>
  <si>
    <t>Due to full ramp up during 2017-2018.</t>
  </si>
  <si>
    <t>Due to full ramp up during the 2017-2018 biennium.</t>
  </si>
  <si>
    <t>Due to full ramp up during the 2017-2018 biennium and expansion (expanded use of MAT in jail and at shelters and encampments) in 2019-2020.</t>
  </si>
  <si>
    <t>Due to full ramp up during 2017-2018 and expansion in 2019-2020.</t>
  </si>
  <si>
    <t>What is driving this increase? Is there an expansion to a second location?</t>
  </si>
  <si>
    <t>Why is this increasing so much?  Where are the peer respite houses budgeted?</t>
  </si>
  <si>
    <t>Why is this increasing so much?</t>
  </si>
  <si>
    <t>Is the increase entirely driven by the 2 FTEs proposed to be added?</t>
  </si>
  <si>
    <t>Why is this increasing so much? Is this the $1M for community-based services to connect people exiting the jail to services?</t>
  </si>
  <si>
    <t>Why is this increasing so much?  I assume the MAT $$ for inducting people in the jail is in Multipronged Opioid Strategies  is that right?</t>
  </si>
  <si>
    <t>Where is the $2.5M for MH treatment on demand budgeted?</t>
  </si>
  <si>
    <t>RR-11A &amp; B</t>
  </si>
  <si>
    <t>2017-2018 SIP Planned Budget</t>
  </si>
  <si>
    <t>2017-2018 Adopted Budget</t>
  </si>
  <si>
    <t>Consejo one-time funding</t>
  </si>
  <si>
    <t>Crisis Diversion</t>
  </si>
  <si>
    <t>Prevention &amp; Early Intervention</t>
  </si>
  <si>
    <t>Recovery &amp; Reentry</t>
  </si>
  <si>
    <t>System Improvements</t>
  </si>
  <si>
    <t>Therapeutic Court</t>
  </si>
  <si>
    <t>Uncategorized</t>
  </si>
  <si>
    <t>Sum of 2015-2016 Budget</t>
  </si>
  <si>
    <t>Sum of 2017-2018 Adopted Budget</t>
  </si>
  <si>
    <t>Administration</t>
  </si>
  <si>
    <t>N/A</t>
  </si>
  <si>
    <t>% Change 2015-2016 to 2017-2018</t>
  </si>
  <si>
    <t>% Change 2017-2018 to 2019-2020</t>
  </si>
  <si>
    <t>% Change 2015-2016 to 2019-2020</t>
  </si>
  <si>
    <t>2015-2016 Budget by Strategy Area</t>
  </si>
  <si>
    <t>2017-2018 Budget by Strategy Area</t>
  </si>
  <si>
    <t>2019-2020 Proposed Budget by Strategy Area</t>
  </si>
  <si>
    <t>2015-2016 % Budget by Strategy Area</t>
  </si>
  <si>
    <t>2017-2018 % Budget by Strategy Area</t>
  </si>
  <si>
    <t>2019-2020 % Proposed Budget by Strategy Area</t>
  </si>
  <si>
    <t>MIDD 2015-2016 and 2017-2018 Adopted Budgets and 2019-2020 Proposed Budget</t>
  </si>
  <si>
    <t>2019-2020 
Proposed Budget</t>
  </si>
  <si>
    <t>2015-2016 
Adopted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</si>
</sst>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&quot;$&quot;* #,##0_);_(&quot;$&quot;* \(#,##0\);_(&quot;$&quot;* &quot;-&quot;??_);_(@_)"/>
    <numFmt numFmtId="167" formatCode="&quot;$&quot;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9"/>
      <color theme="1" tint="0.25"/>
      <name val="Calibri"/>
      <family val="2"/>
    </font>
  </fonts>
  <fills count="1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/>
    </border>
    <border>
      <left/>
      <right/>
      <top/>
      <bottom style="thin">
        <color theme="4" tint="0.39998000860214233"/>
      </bottom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9">
    <xf numFmtId="0" fontId="0" fillId="0" borderId="0" xfId="0"/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wrapText="1"/>
    </xf>
    <xf numFmtId="164" fontId="3" fillId="0" borderId="0" xfId="18" applyNumberFormat="1" applyFont="1" applyFill="1" applyAlignment="1">
      <alignment horizontal="center" wrapText="1"/>
    </xf>
    <xf numFmtId="164" fontId="4" fillId="0" borderId="0" xfId="18" applyNumberFormat="1" applyFont="1" applyFill="1" applyAlignment="1">
      <alignment horizontal="center" wrapText="1"/>
    </xf>
    <xf numFmtId="165" fontId="3" fillId="0" borderId="0" xfId="18" applyNumberFormat="1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18" applyNumberFormat="1" applyFont="1" applyFill="1" applyBorder="1" applyAlignment="1">
      <alignment horizontal="center" vertical="center" wrapText="1"/>
    </xf>
    <xf numFmtId="0" fontId="5" fillId="2" borderId="1" xfId="20" applyFont="1" applyFill="1" applyBorder="1" applyAlignment="1">
      <alignment horizontal="left" vertical="top" wrapText="1"/>
      <protection/>
    </xf>
    <xf numFmtId="0" fontId="6" fillId="2" borderId="1" xfId="20" applyFont="1" applyFill="1" applyBorder="1" applyAlignment="1">
      <alignment horizontal="left" vertical="top" wrapText="1"/>
      <protection/>
    </xf>
    <xf numFmtId="164" fontId="6" fillId="2" borderId="1" xfId="18" applyNumberFormat="1" applyFont="1" applyFill="1" applyBorder="1" applyAlignment="1">
      <alignment horizontal="left" vertical="top" wrapText="1"/>
    </xf>
    <xf numFmtId="0" fontId="5" fillId="3" borderId="1" xfId="20" applyFont="1" applyFill="1" applyBorder="1" applyAlignment="1">
      <alignment horizontal="left" vertical="top" wrapText="1"/>
      <protection/>
    </xf>
    <xf numFmtId="0" fontId="6" fillId="3" borderId="1" xfId="0" applyFont="1" applyFill="1" applyBorder="1" applyAlignment="1">
      <alignment horizontal="left" vertical="top" wrapText="1"/>
    </xf>
    <xf numFmtId="164" fontId="6" fillId="3" borderId="1" xfId="18" applyNumberFormat="1" applyFont="1" applyFill="1" applyBorder="1" applyAlignment="1">
      <alignment horizontal="left" vertical="top" wrapText="1"/>
    </xf>
    <xf numFmtId="0" fontId="6" fillId="3" borderId="1" xfId="20" applyFont="1" applyFill="1" applyBorder="1" applyAlignment="1">
      <alignment horizontal="left" vertical="top" wrapText="1"/>
      <protection/>
    </xf>
    <xf numFmtId="0" fontId="5" fillId="4" borderId="1" xfId="20" applyFont="1" applyFill="1" applyBorder="1" applyAlignment="1">
      <alignment horizontal="left" vertical="top" wrapText="1"/>
      <protection/>
    </xf>
    <xf numFmtId="0" fontId="6" fillId="4" borderId="1" xfId="20" applyFont="1" applyFill="1" applyBorder="1" applyAlignment="1">
      <alignment horizontal="left" vertical="top" wrapText="1"/>
      <protection/>
    </xf>
    <xf numFmtId="164" fontId="6" fillId="4" borderId="1" xfId="18" applyNumberFormat="1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5" fillId="5" borderId="1" xfId="20" applyFont="1" applyFill="1" applyBorder="1" applyAlignment="1">
      <alignment horizontal="left" vertical="top" wrapText="1"/>
      <protection/>
    </xf>
    <xf numFmtId="0" fontId="6" fillId="5" borderId="1" xfId="20" applyFont="1" applyFill="1" applyBorder="1" applyAlignment="1">
      <alignment horizontal="left" vertical="top" wrapText="1"/>
      <protection/>
    </xf>
    <xf numFmtId="164" fontId="6" fillId="5" borderId="1" xfId="18" applyNumberFormat="1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5" fillId="6" borderId="1" xfId="20" applyFont="1" applyFill="1" applyBorder="1" applyAlignment="1">
      <alignment horizontal="left" vertical="top" wrapText="1"/>
      <protection/>
    </xf>
    <xf numFmtId="0" fontId="6" fillId="6" borderId="1" xfId="0" applyFont="1" applyFill="1" applyBorder="1" applyAlignment="1">
      <alignment horizontal="left" vertical="top" wrapText="1"/>
    </xf>
    <xf numFmtId="164" fontId="6" fillId="6" borderId="1" xfId="18" applyNumberFormat="1" applyFont="1" applyFill="1" applyBorder="1" applyAlignment="1">
      <alignment horizontal="left" vertical="top" wrapText="1"/>
    </xf>
    <xf numFmtId="0" fontId="6" fillId="6" borderId="1" xfId="20" applyFont="1" applyFill="1" applyBorder="1" applyAlignment="1">
      <alignment horizontal="left" vertical="top" wrapText="1"/>
      <protection/>
    </xf>
    <xf numFmtId="0" fontId="5" fillId="7" borderId="1" xfId="20" applyFont="1" applyFill="1" applyBorder="1" applyAlignment="1">
      <alignment horizontal="left" vertical="top" wrapText="1"/>
      <protection/>
    </xf>
    <xf numFmtId="0" fontId="6" fillId="7" borderId="1" xfId="20" applyFont="1" applyFill="1" applyBorder="1" applyAlignment="1">
      <alignment horizontal="left" vertical="top" wrapText="1"/>
      <protection/>
    </xf>
    <xf numFmtId="164" fontId="6" fillId="7" borderId="1" xfId="18" applyNumberFormat="1" applyFont="1" applyFill="1" applyBorder="1" applyAlignment="1">
      <alignment horizontal="left" vertical="top" wrapText="1"/>
    </xf>
    <xf numFmtId="0" fontId="5" fillId="8" borderId="1" xfId="20" applyFont="1" applyFill="1" applyBorder="1" applyAlignment="1">
      <alignment horizontal="left" vertical="top" wrapText="1"/>
      <protection/>
    </xf>
    <xf numFmtId="0" fontId="6" fillId="8" borderId="1" xfId="20" applyFont="1" applyFill="1" applyBorder="1" applyAlignment="1">
      <alignment horizontal="left" vertical="top" wrapText="1"/>
      <protection/>
    </xf>
    <xf numFmtId="164" fontId="6" fillId="8" borderId="1" xfId="18" applyNumberFormat="1" applyFont="1" applyFill="1" applyBorder="1" applyAlignment="1">
      <alignment horizontal="left" vertical="top" wrapText="1"/>
    </xf>
    <xf numFmtId="43" fontId="6" fillId="0" borderId="0" xfId="18" applyNumberFormat="1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164" fontId="6" fillId="0" borderId="0" xfId="18" applyNumberFormat="1" applyFont="1" applyFill="1" applyAlignment="1">
      <alignment horizontal="center" wrapText="1"/>
    </xf>
    <xf numFmtId="16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2" fillId="9" borderId="2" xfId="0" applyFont="1" applyFill="1" applyBorder="1" applyAlignment="1">
      <alignment horizontal="left"/>
    </xf>
    <xf numFmtId="0" fontId="2" fillId="9" borderId="3" xfId="0" applyFont="1" applyFill="1" applyBorder="1"/>
    <xf numFmtId="166" fontId="0" fillId="0" borderId="0" xfId="0" applyNumberFormat="1"/>
    <xf numFmtId="166" fontId="2" fillId="9" borderId="2" xfId="0" applyNumberFormat="1" applyFont="1" applyFill="1" applyBorder="1"/>
    <xf numFmtId="9" fontId="0" fillId="0" borderId="0" xfId="15" applyFont="1"/>
    <xf numFmtId="9" fontId="0" fillId="10" borderId="0" xfId="15" applyFont="1" applyFill="1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9" fontId="0" fillId="10" borderId="0" xfId="15" applyFont="1" applyFill="1"/>
    <xf numFmtId="0" fontId="8" fillId="0" borderId="0" xfId="0" applyFont="1" applyFill="1" applyAlignment="1">
      <alignment wrapText="1"/>
    </xf>
    <xf numFmtId="0" fontId="0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9" fillId="2" borderId="1" xfId="20" applyFont="1" applyFill="1" applyBorder="1" applyAlignment="1">
      <alignment horizontal="left" vertical="top" wrapText="1"/>
      <protection/>
    </xf>
    <xf numFmtId="0" fontId="10" fillId="2" borderId="1" xfId="20" applyFont="1" applyFill="1" applyBorder="1" applyAlignment="1">
      <alignment horizontal="left" vertical="top" wrapText="1"/>
      <protection/>
    </xf>
    <xf numFmtId="164" fontId="10" fillId="2" borderId="1" xfId="18" applyNumberFormat="1" applyFont="1" applyFill="1" applyBorder="1" applyAlignment="1">
      <alignment horizontal="center" vertical="top" wrapText="1"/>
    </xf>
    <xf numFmtId="164" fontId="10" fillId="2" borderId="1" xfId="18" applyNumberFormat="1" applyFont="1" applyFill="1" applyBorder="1" applyAlignment="1">
      <alignment horizontal="left" vertical="top" wrapText="1"/>
    </xf>
    <xf numFmtId="0" fontId="9" fillId="3" borderId="1" xfId="20" applyFont="1" applyFill="1" applyBorder="1" applyAlignment="1">
      <alignment horizontal="left" vertical="top" wrapText="1"/>
      <protection/>
    </xf>
    <xf numFmtId="0" fontId="10" fillId="3" borderId="1" xfId="0" applyFont="1" applyFill="1" applyBorder="1" applyAlignment="1">
      <alignment horizontal="left" vertical="top" wrapText="1"/>
    </xf>
    <xf numFmtId="164" fontId="10" fillId="3" borderId="1" xfId="18" applyNumberFormat="1" applyFont="1" applyFill="1" applyBorder="1" applyAlignment="1">
      <alignment horizontal="center" vertical="top" wrapText="1"/>
    </xf>
    <xf numFmtId="164" fontId="10" fillId="3" borderId="1" xfId="18" applyNumberFormat="1" applyFont="1" applyFill="1" applyBorder="1" applyAlignment="1">
      <alignment horizontal="left" vertical="top" wrapText="1"/>
    </xf>
    <xf numFmtId="0" fontId="10" fillId="3" borderId="1" xfId="20" applyFont="1" applyFill="1" applyBorder="1" applyAlignment="1">
      <alignment horizontal="left" vertical="top" wrapText="1"/>
      <protection/>
    </xf>
    <xf numFmtId="0" fontId="9" fillId="4" borderId="1" xfId="20" applyFont="1" applyFill="1" applyBorder="1" applyAlignment="1">
      <alignment horizontal="left" vertical="top" wrapText="1"/>
      <protection/>
    </xf>
    <xf numFmtId="0" fontId="10" fillId="4" borderId="1" xfId="20" applyFont="1" applyFill="1" applyBorder="1" applyAlignment="1">
      <alignment horizontal="left" vertical="top" wrapText="1"/>
      <protection/>
    </xf>
    <xf numFmtId="164" fontId="10" fillId="4" borderId="1" xfId="18" applyNumberFormat="1" applyFont="1" applyFill="1" applyBorder="1" applyAlignment="1">
      <alignment horizontal="center" vertical="top" wrapText="1"/>
    </xf>
    <xf numFmtId="164" fontId="10" fillId="4" borderId="1" xfId="18" applyNumberFormat="1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9" fillId="7" borderId="1" xfId="20" applyFont="1" applyFill="1" applyBorder="1" applyAlignment="1">
      <alignment horizontal="left" vertical="top" wrapText="1"/>
      <protection/>
    </xf>
    <xf numFmtId="0" fontId="10" fillId="7" borderId="1" xfId="20" applyFont="1" applyFill="1" applyBorder="1" applyAlignment="1">
      <alignment horizontal="left" vertical="top" wrapText="1"/>
      <protection/>
    </xf>
    <xf numFmtId="164" fontId="10" fillId="7" borderId="1" xfId="18" applyNumberFormat="1" applyFont="1" applyFill="1" applyBorder="1" applyAlignment="1">
      <alignment horizontal="center" vertical="top" wrapText="1"/>
    </xf>
    <xf numFmtId="164" fontId="10" fillId="7" borderId="1" xfId="18" applyNumberFormat="1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left" vertical="top" wrapText="1"/>
    </xf>
    <xf numFmtId="0" fontId="9" fillId="11" borderId="1" xfId="20" applyFont="1" applyFill="1" applyBorder="1" applyAlignment="1">
      <alignment horizontal="left" vertical="top" wrapText="1"/>
      <protection/>
    </xf>
    <xf numFmtId="0" fontId="10" fillId="11" borderId="1" xfId="0" applyFont="1" applyFill="1" applyBorder="1" applyAlignment="1">
      <alignment horizontal="left" vertical="top" wrapText="1"/>
    </xf>
    <xf numFmtId="164" fontId="10" fillId="11" borderId="1" xfId="18" applyNumberFormat="1" applyFont="1" applyFill="1" applyBorder="1" applyAlignment="1">
      <alignment horizontal="center" vertical="top" wrapText="1"/>
    </xf>
    <xf numFmtId="164" fontId="10" fillId="11" borderId="1" xfId="18" applyNumberFormat="1" applyFont="1" applyFill="1" applyBorder="1" applyAlignment="1">
      <alignment horizontal="left" vertical="top" wrapText="1"/>
    </xf>
    <xf numFmtId="0" fontId="10" fillId="11" borderId="1" xfId="20" applyFont="1" applyFill="1" applyBorder="1" applyAlignment="1">
      <alignment horizontal="left" vertical="top" wrapText="1"/>
      <protection/>
    </xf>
    <xf numFmtId="0" fontId="9" fillId="12" borderId="1" xfId="20" applyFont="1" applyFill="1" applyBorder="1" applyAlignment="1">
      <alignment horizontal="left" vertical="top" wrapText="1"/>
      <protection/>
    </xf>
    <xf numFmtId="0" fontId="10" fillId="12" borderId="1" xfId="20" applyFont="1" applyFill="1" applyBorder="1" applyAlignment="1">
      <alignment horizontal="left" vertical="top" wrapText="1"/>
      <protection/>
    </xf>
    <xf numFmtId="164" fontId="10" fillId="12" borderId="1" xfId="18" applyNumberFormat="1" applyFont="1" applyFill="1" applyBorder="1" applyAlignment="1">
      <alignment horizontal="center" vertical="top" wrapText="1"/>
    </xf>
    <xf numFmtId="164" fontId="10" fillId="12" borderId="1" xfId="18" applyNumberFormat="1" applyFont="1" applyFill="1" applyBorder="1" applyAlignment="1">
      <alignment horizontal="left" vertical="top" wrapText="1"/>
    </xf>
    <xf numFmtId="0" fontId="9" fillId="8" borderId="1" xfId="20" applyFont="1" applyFill="1" applyBorder="1" applyAlignment="1">
      <alignment horizontal="left" vertical="top" wrapText="1"/>
      <protection/>
    </xf>
    <xf numFmtId="0" fontId="10" fillId="8" borderId="1" xfId="20" applyFont="1" applyFill="1" applyBorder="1" applyAlignment="1">
      <alignment horizontal="left" vertical="top" wrapText="1"/>
      <protection/>
    </xf>
    <xf numFmtId="164" fontId="10" fillId="8" borderId="1" xfId="18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wrapText="1"/>
    </xf>
    <xf numFmtId="164" fontId="10" fillId="0" borderId="0" xfId="18" applyNumberFormat="1" applyFont="1" applyFill="1" applyAlignment="1">
      <alignment horizontal="center" wrapText="1"/>
    </xf>
    <xf numFmtId="43" fontId="10" fillId="0" borderId="0" xfId="18" applyNumberFormat="1" applyFont="1" applyFill="1" applyAlignment="1">
      <alignment horizontal="center" wrapText="1"/>
    </xf>
    <xf numFmtId="167" fontId="0" fillId="0" borderId="0" xfId="0" applyNumberFormat="1"/>
    <xf numFmtId="0" fontId="2" fillId="0" borderId="0" xfId="0" applyFont="1" applyAlignment="1">
      <alignment horizontal="center" wrapText="1"/>
    </xf>
    <xf numFmtId="9" fontId="0" fillId="0" borderId="0" xfId="15" applyFont="1" applyAlignment="1">
      <alignment horizontal="right"/>
    </xf>
    <xf numFmtId="9" fontId="2" fillId="0" borderId="0" xfId="15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3" borderId="0" xfId="0" applyFont="1" applyFill="1" applyAlignment="1">
      <alignment horizontal="center" wrapText="1"/>
    </xf>
    <xf numFmtId="9" fontId="2" fillId="13" borderId="0" xfId="15" applyFont="1" applyFill="1"/>
    <xf numFmtId="0" fontId="2" fillId="13" borderId="0" xfId="0" applyFont="1" applyFill="1" applyAlignment="1">
      <alignment horizontal="left"/>
    </xf>
    <xf numFmtId="167" fontId="2" fillId="13" borderId="0" xfId="0" applyNumberFormat="1" applyFont="1" applyFill="1"/>
    <xf numFmtId="9" fontId="0" fillId="0" borderId="0" xfId="0" applyNumberFormat="1"/>
    <xf numFmtId="0" fontId="11" fillId="14" borderId="1" xfId="0" applyFont="1" applyFill="1" applyBorder="1" applyAlignment="1">
      <alignment horizontal="center" vertical="center" wrapText="1"/>
    </xf>
    <xf numFmtId="164" fontId="11" fillId="14" borderId="1" xfId="18" applyNumberFormat="1" applyFont="1" applyFill="1" applyBorder="1" applyAlignment="1">
      <alignment horizontal="center" vertical="center" wrapText="1"/>
    </xf>
    <xf numFmtId="0" fontId="11" fillId="14" borderId="4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">
    <dxf>
      <numFmt numFmtId="167" formatCode="&quot;$&quot;#,##0"/>
    </dxf>
    <dxf>
      <numFmt numFmtId="166" formatCode="_(&quot;$&quot;* #,##0_);_(&quot;$&quot;* \(#,##0\);_(&quot;$&quot;* &quot;-&quot;??_);_(@_)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MIDD Budget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by Strategy Area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
for 2015-2016, 2017-2018 and (Proposed) 2019-2020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'PT_15-16_17-18_19-20'!$B$14</c:f>
              <c:strCache>
                <c:ptCount val="1"/>
                <c:pt idx="0">
                  <c:v>2015-2016 Budget by Strategy Area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'PT_15-16_17-18_19-20'!$A$15:$A$20</c:f>
              <c:strCache/>
            </c:strRef>
          </c:cat>
          <c:val>
            <c:numRef>
              <c:f>'PT_15-16_17-18_19-20'!$B$15:$B$20</c:f>
              <c:numCache/>
            </c:numRef>
          </c:val>
        </c:ser>
        <c:ser>
          <c:idx val="1"/>
          <c:order val="1"/>
          <c:tx>
            <c:strRef>
              <c:f>'PT_15-16_17-18_19-20'!$C$14</c:f>
              <c:strCache>
                <c:ptCount val="1"/>
                <c:pt idx="0">
                  <c:v>2017-2018 Budget by Strategy Area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'PT_15-16_17-18_19-20'!$A$15:$A$20</c:f>
              <c:strCache/>
            </c:strRef>
          </c:cat>
          <c:val>
            <c:numRef>
              <c:f>'PT_15-16_17-18_19-20'!$C$15:$C$20</c:f>
              <c:numCache/>
            </c:numRef>
          </c:val>
        </c:ser>
        <c:ser>
          <c:idx val="2"/>
          <c:order val="2"/>
          <c:tx>
            <c:strRef>
              <c:f>'PT_15-16_17-18_19-20'!$D$14</c:f>
              <c:strCache>
                <c:ptCount val="1"/>
                <c:pt idx="0">
                  <c:v>2019-2020 Proposed Budget by Strategy Area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'PT_15-16_17-18_19-20'!$A$15:$A$20</c:f>
              <c:strCache/>
            </c:strRef>
          </c:cat>
          <c:val>
            <c:numRef>
              <c:f>'PT_15-16_17-18_19-20'!$D$15:$D$20</c:f>
              <c:numCache/>
            </c:numRef>
          </c:val>
        </c:ser>
        <c:overlap val="-27"/>
        <c:gapWidth val="219"/>
        <c:axId val="8542251"/>
        <c:axId val="9771396"/>
      </c:barChart>
      <c:catAx>
        <c:axId val="85422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771396"/>
        <c:crosses val="autoZero"/>
        <c:auto val="1"/>
        <c:lblOffset val="100"/>
        <c:noMultiLvlLbl val="0"/>
      </c:catAx>
      <c:valAx>
        <c:axId val="977139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54225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'PT_15-16_17-18_19-20'!$B$14</c:f>
              <c:strCache>
                <c:ptCount val="1"/>
                <c:pt idx="0">
                  <c:v>2015-2016 Budget by Strategy Area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'PT_15-16_17-18_19-20'!$A$15:$A$20</c:f>
              <c:strCache/>
            </c:strRef>
          </c:cat>
          <c:val>
            <c:numRef>
              <c:f>'PT_15-16_17-18_19-20'!$B$15:$B$20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'PT_15-16_17-18_19-20'!$C$14</c:f>
              <c:strCache>
                <c:ptCount val="1"/>
                <c:pt idx="0">
                  <c:v>2017-2018 Budget by Strategy Area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'PT_15-16_17-18_19-20'!$A$15:$A$20</c:f>
              <c:strCache/>
            </c:strRef>
          </c:cat>
          <c:val>
            <c:numRef>
              <c:f>'PT_15-16_17-18_19-20'!$C$15:$C$20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'PT_15-16_17-18_19-20'!$D$14</c:f>
              <c:strCache>
                <c:ptCount val="1"/>
                <c:pt idx="0">
                  <c:v>2019-2020 Proposed Budget by Strategy Area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'PT_15-16_17-18_19-20'!$A$15:$A$20</c:f>
              <c:strCache/>
            </c:strRef>
          </c:cat>
          <c:val>
            <c:numRef>
              <c:f>'PT_15-16_17-18_19-20'!$D$15:$D$20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Percentage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Budgeted by Strategy Area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
2015-2016, 2017-2018, Proposed 2019-2020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25"/>
          <c:y val="0.1355"/>
          <c:w val="0.919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'PT_15-16_17-18_19-20'!$A$25</c:f>
              <c:strCache>
                <c:ptCount val="1"/>
                <c:pt idx="0">
                  <c:v>Crisis Diversion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.01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.01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'PT_15-16_17-18_19-20'!$B$24:$D$24</c:f>
              <c:strCache/>
            </c:strRef>
          </c:cat>
          <c:val>
            <c:numRef>
              <c:f>'PT_15-16_17-18_19-20'!$B$25:$D$25</c:f>
              <c:numCache/>
            </c:numRef>
          </c:val>
          <c:smooth val="0"/>
        </c:ser>
        <c:ser>
          <c:idx val="1"/>
          <c:order val="1"/>
          <c:tx>
            <c:strRef>
              <c:f>'PT_15-16_17-18_19-20'!$A$26</c:f>
              <c:strCache>
                <c:ptCount val="1"/>
                <c:pt idx="0">
                  <c:v>Prevention &amp; Early Intervention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-0.00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0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'PT_15-16_17-18_19-20'!$B$24:$D$24</c:f>
              <c:strCache/>
            </c:strRef>
          </c:cat>
          <c:val>
            <c:numRef>
              <c:f>'PT_15-16_17-18_19-20'!$B$26:$D$26</c:f>
              <c:numCache/>
            </c:numRef>
          </c:val>
          <c:smooth val="0"/>
        </c:ser>
        <c:ser>
          <c:idx val="2"/>
          <c:order val="2"/>
          <c:tx>
            <c:strRef>
              <c:f>'PT_15-16_17-18_19-20'!$A$27</c:f>
              <c:strCache>
                <c:ptCount val="1"/>
                <c:pt idx="0">
                  <c:v>Recovery &amp; Reentry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29"/>
                  <c:y val="-0.01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375"/>
                  <c:y val="0.01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55"/>
                  <c:y val="-0.00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'PT_15-16_17-18_19-20'!$B$24:$D$24</c:f>
              <c:strCache/>
            </c:strRef>
          </c:cat>
          <c:val>
            <c:numRef>
              <c:f>'PT_15-16_17-18_19-20'!$B$27:$D$27</c:f>
              <c:numCache/>
            </c:numRef>
          </c:val>
          <c:smooth val="0"/>
        </c:ser>
        <c:ser>
          <c:idx val="3"/>
          <c:order val="3"/>
          <c:tx>
            <c:strRef>
              <c:f>'PT_15-16_17-18_19-20'!$A$28</c:f>
              <c:strCache>
                <c:ptCount val="1"/>
                <c:pt idx="0">
                  <c:v>System Improvements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135"/>
                  <c:y val="0.01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55"/>
                  <c:y val="0.01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'PT_15-16_17-18_19-20'!$B$24:$D$24</c:f>
              <c:strCache/>
            </c:strRef>
          </c:cat>
          <c:val>
            <c:numRef>
              <c:f>'PT_15-16_17-18_19-20'!$B$28:$D$28</c:f>
              <c:numCache/>
            </c:numRef>
          </c:val>
          <c:smooth val="0"/>
        </c:ser>
        <c:ser>
          <c:idx val="4"/>
          <c:order val="4"/>
          <c:tx>
            <c:strRef>
              <c:f>'PT_15-16_17-18_19-20'!$A$29</c:f>
              <c:strCache>
                <c:ptCount val="1"/>
                <c:pt idx="0">
                  <c:v>Therapeutic Court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-0.01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1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1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'PT_15-16_17-18_19-20'!$B$24:$D$24</c:f>
              <c:strCache/>
            </c:strRef>
          </c:cat>
          <c:val>
            <c:numRef>
              <c:f>'PT_15-16_17-18_19-20'!$B$29:$D$29</c:f>
              <c:numCache/>
            </c:numRef>
          </c:val>
          <c:smooth val="0"/>
        </c:ser>
        <c:ser>
          <c:idx val="5"/>
          <c:order val="5"/>
          <c:tx>
            <c:strRef>
              <c:f>'PT_15-16_17-18_19-20'!$A$30</c:f>
              <c:strCache>
                <c:ptCount val="1"/>
                <c:pt idx="0">
                  <c:v>Administration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-0.01725"/>
                  <c:y val="0.02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725"/>
                  <c:y val="0.02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'PT_15-16_17-18_19-20'!$B$24:$D$24</c:f>
              <c:strCache/>
            </c:strRef>
          </c:cat>
          <c:val>
            <c:numRef>
              <c:f>'PT_15-16_17-18_19-20'!$B$30:$D$30</c:f>
              <c:numCache/>
            </c:numRef>
          </c:val>
          <c:smooth val="0"/>
        </c:ser>
        <c:axId val="20833701"/>
        <c:axId val="53285582"/>
      </c:lineChart>
      <c:catAx>
        <c:axId val="208337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285582"/>
        <c:crosses val="autoZero"/>
        <c:auto val="1"/>
        <c:lblOffset val="100"/>
        <c:noMultiLvlLbl val="0"/>
      </c:catAx>
      <c:valAx>
        <c:axId val="5328558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8337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38</xdr:row>
      <xdr:rowOff>190500</xdr:rowOff>
    </xdr:from>
    <xdr:to>
      <xdr:col>4</xdr:col>
      <xdr:colOff>514350</xdr:colOff>
      <xdr:row>65</xdr:row>
      <xdr:rowOff>95250</xdr:rowOff>
    </xdr:to>
    <xdr:graphicFrame macro="">
      <xdr:nvGraphicFramePr>
        <xdr:cNvPr id="2" name="Chart 1"/>
        <xdr:cNvGraphicFramePr/>
      </xdr:nvGraphicFramePr>
      <xdr:xfrm>
        <a:off x="800100" y="8001000"/>
        <a:ext cx="86106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981075</xdr:colOff>
      <xdr:row>37</xdr:row>
      <xdr:rowOff>57150</xdr:rowOff>
    </xdr:from>
    <xdr:to>
      <xdr:col>10</xdr:col>
      <xdr:colOff>114300</xdr:colOff>
      <xdr:row>51</xdr:row>
      <xdr:rowOff>133350</xdr:rowOff>
    </xdr:to>
    <xdr:graphicFrame macro="">
      <xdr:nvGraphicFramePr>
        <xdr:cNvPr id="3" name="Chart 2"/>
        <xdr:cNvGraphicFramePr/>
      </xdr:nvGraphicFramePr>
      <xdr:xfrm>
        <a:off x="9877425" y="76771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981075</xdr:colOff>
      <xdr:row>52</xdr:row>
      <xdr:rowOff>133350</xdr:rowOff>
    </xdr:from>
    <xdr:to>
      <xdr:col>10</xdr:col>
      <xdr:colOff>114300</xdr:colOff>
      <xdr:row>67</xdr:row>
      <xdr:rowOff>19050</xdr:rowOff>
    </xdr:to>
    <xdr:graphicFrame macro="">
      <xdr:nvGraphicFramePr>
        <xdr:cNvPr id="4" name="Chart 3"/>
        <xdr:cNvGraphicFramePr/>
      </xdr:nvGraphicFramePr>
      <xdr:xfrm>
        <a:off x="9877425" y="106108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981075</xdr:colOff>
      <xdr:row>68</xdr:row>
      <xdr:rowOff>0</xdr:rowOff>
    </xdr:from>
    <xdr:to>
      <xdr:col>10</xdr:col>
      <xdr:colOff>114300</xdr:colOff>
      <xdr:row>82</xdr:row>
      <xdr:rowOff>76200</xdr:rowOff>
    </xdr:to>
    <xdr:graphicFrame macro="">
      <xdr:nvGraphicFramePr>
        <xdr:cNvPr id="5" name="Chart 4"/>
        <xdr:cNvGraphicFramePr/>
      </xdr:nvGraphicFramePr>
      <xdr:xfrm>
        <a:off x="9877425" y="135255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581025</xdr:colOff>
      <xdr:row>31</xdr:row>
      <xdr:rowOff>133350</xdr:rowOff>
    </xdr:from>
    <xdr:to>
      <xdr:col>4</xdr:col>
      <xdr:colOff>190500</xdr:colOff>
      <xdr:row>59</xdr:row>
      <xdr:rowOff>161925</xdr:rowOff>
    </xdr:to>
    <xdr:graphicFrame macro="">
      <xdr:nvGraphicFramePr>
        <xdr:cNvPr id="6" name="Chart 5"/>
        <xdr:cNvGraphicFramePr/>
      </xdr:nvGraphicFramePr>
      <xdr:xfrm>
        <a:off x="2562225" y="6610350"/>
        <a:ext cx="6524625" cy="5362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56" refreshedBy="Soohoo, Wendy" refreshedVersion="5">
  <cacheSource type="worksheet">
    <worksheetSource ref="A3:E59" sheet="2017-18v2019-20"/>
  </cacheSource>
  <cacheFields count="5">
    <cacheField name="MIDD II Number">
      <sharedItems containsMixedTypes="0" count="0"/>
    </cacheField>
    <cacheField name="MIDD Strategy Area">
      <sharedItems containsBlank="1" containsMixedTypes="0" count="8">
        <s v="ADM"/>
        <s v="CD"/>
        <s v="PRI"/>
        <s v="RR"/>
        <s v="SI"/>
        <s v="TX"/>
        <s v="SP"/>
        <m/>
      </sharedItems>
    </cacheField>
    <cacheField name="MIDD 2 Initiative Title">
      <sharedItems containsBlank="1" containsMixedTypes="0" count="0"/>
    </cacheField>
    <cacheField name="2017-2018 Estimated Total Expenditures" numFmtId="164">
      <sharedItems containsString="0" containsBlank="1" containsMixedTypes="0" containsNumber="1" containsInteger="1" count="0"/>
    </cacheField>
    <cacheField name="2019-2020 Total by Initiative" numFmtId="164">
      <sharedItems containsSemiMixedTypes="0" containsString="0" containsMixedTypes="0" containsNumber="1" containsInteger="1" count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5" recordCount="55" refreshedBy="Soohoo, Wendy" refreshedVersion="5">
  <cacheSource type="worksheet">
    <worksheetSource ref="A2:G57" sheet="15-16 v 17-18 v 19-20"/>
  </cacheSource>
  <cacheFields count="7">
    <cacheField name="MIDD II Number">
      <sharedItems containsMixedTypes="0" count="0"/>
    </cacheField>
    <cacheField name="MIDD Strategy Area">
      <sharedItems containsBlank="1" containsMixedTypes="0" count="9">
        <s v="Administration"/>
        <s v="Crisis Diversion"/>
        <s v="Prevention &amp; Early Intervention"/>
        <s v="Recovery &amp; Reentry"/>
        <s v="System Improvements"/>
        <s v="Therapeutic Court"/>
        <s v="Uncategorized"/>
        <m/>
        <s v="ADM"/>
      </sharedItems>
    </cacheField>
    <cacheField name="MIDD 2 Initiative Title">
      <sharedItems containsMixedTypes="0" count="0"/>
    </cacheField>
    <cacheField name="2015-2016 Budget" numFmtId="164">
      <sharedItems containsSemiMixedTypes="0" containsString="0" containsMixedTypes="0" containsNumber="1" containsInteger="1" count="0"/>
    </cacheField>
    <cacheField name="2017-2018 SIP Planned Budget" numFmtId="164">
      <sharedItems containsString="0" containsBlank="1" containsMixedTypes="0" containsNumber="1" containsInteger="1" count="0"/>
    </cacheField>
    <cacheField name="2017-2018 Adopted Budget" numFmtId="164">
      <sharedItems containsSemiMixedTypes="0" containsString="0" containsMixedTypes="0" containsNumber="1" containsInteger="1" count="0"/>
    </cacheField>
    <cacheField name="2019-2020 Total by Initiative" numFmtId="164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">
  <r>
    <s v="ADM"/>
    <x v="0"/>
    <s v="Administration &amp; Evaluation "/>
    <n v="5450797"/>
    <n v="8822674.154673439"/>
  </r>
  <r>
    <s v="CD-01"/>
    <x v="1"/>
    <s v="Law Enforcement Assisted Diversion (LEAD)"/>
    <n v="3569707"/>
    <n v="7428509.07376"/>
  </r>
  <r>
    <s v="CD-02"/>
    <x v="1"/>
    <s v="Youth Detention Prevention BH Engagement"/>
    <n v="607794"/>
    <n v="1844486.2067763598"/>
  </r>
  <r>
    <s v="CD-03"/>
    <x v="1"/>
    <s v="Outreach &amp; In reach System of Care"/>
    <n v="764374"/>
    <n v="880508.6351207998"/>
  </r>
  <r>
    <s v="CD-04"/>
    <x v="1"/>
    <s v="South County Crisis Diversion Services/Center"/>
    <n v="0"/>
    <n v="1631278.2553199995"/>
  </r>
  <r>
    <s v="CD-05"/>
    <x v="1"/>
    <s v="High Utilizer Care Teams"/>
    <n v="516782"/>
    <n v="550317.8969504999"/>
  </r>
  <r>
    <s v="CD-06"/>
    <x v="1"/>
    <s v="Adult Crisis Diversion Center, Respite Beds and Mobile Behavioral Health Crisis Team"/>
    <n v="9353979"/>
    <n v="11902367.663011719"/>
  </r>
  <r>
    <s v="CD-07"/>
    <x v="1"/>
    <s v="Multipronged Opioid Strategies"/>
    <n v="2239000"/>
    <n v="6621373.055319999"/>
  </r>
  <r>
    <s v="CD-08"/>
    <x v="1"/>
    <s v="Children's Domestic Violence Response Team"/>
    <n v="571075"/>
    <n v="605349.68664555"/>
  </r>
  <r>
    <s v="CD-09"/>
    <x v="1"/>
    <s v="NEW Behavioral Health Urgent Care-Walk In Clinic Pilot"/>
    <n v="0"/>
    <n v="0"/>
  </r>
  <r>
    <s v="CD-10"/>
    <x v="1"/>
    <s v="Next Day Crisis Appointments"/>
    <n v="614975"/>
    <n v="660381.4763405998"/>
  </r>
  <r>
    <s v="CD-11"/>
    <x v="1"/>
    <s v="Children's Crisis Outreach and Response System - CCORS"/>
    <n v="963280"/>
    <n v="1210699.3732911"/>
  </r>
  <r>
    <s v="CD-12"/>
    <x v="1"/>
    <s v="Parent Partners Family Assistance"/>
    <n v="1036427"/>
    <n v="1158165.2466228597"/>
  </r>
  <r>
    <s v="CD-13"/>
    <x v="1"/>
    <s v="Family Intervention Restorative Services - FIRS"/>
    <n v="2203655"/>
    <n v="2335897.063680502"/>
  </r>
  <r>
    <s v="CD-14"/>
    <x v="1"/>
    <s v="Involuntary Treatment Triage Pilot"/>
    <n v="303900"/>
    <n v="322137.30553199997"/>
  </r>
  <r>
    <s v="CD-15"/>
    <x v="1"/>
    <s v="Wraparound Services for Youth"/>
    <n v="6229950"/>
    <n v="6603814.763405999"/>
  </r>
  <r>
    <s v="CD-16"/>
    <x v="1"/>
    <s v="Youth Respite Alternatives"/>
    <n v="622680"/>
    <n v="1046579.94"/>
  </r>
  <r>
    <s v="CD-17"/>
    <x v="1"/>
    <s v="Young Adult Crisis Stabilization"/>
    <n v="1429983"/>
    <n v="1995479.329801986"/>
  </r>
  <r>
    <s v="PRI-01"/>
    <x v="2"/>
    <s v="Screening, Brief Intervention and Referral To Treatment-SBIRT"/>
    <n v="1341481"/>
    <n v="1540890.1114613996"/>
  </r>
  <r>
    <s v="PRI-02"/>
    <x v="2"/>
    <s v="Juvenile Justice Youth Behavioral Health Assessments"/>
    <n v="775000"/>
    <n v="1254724.80504714"/>
  </r>
  <r>
    <s v="PRI-03"/>
    <x v="2"/>
    <s v="Prevention and Early Intervention Behavioral Health for Adults Over 50"/>
    <n v="981880"/>
    <n v="1040803.0308729537"/>
  </r>
  <r>
    <s v="PRI-04"/>
    <x v="2"/>
    <s v="Older Adult Crisis Intervention/Geriatric Regional Assessment Team - GRAT"/>
    <n v="164513"/>
    <n v="706608.179684442"/>
  </r>
  <r>
    <s v="PRI-05"/>
    <x v="2"/>
    <s v="School-Based SBIRT (Screening, Brief Intervention and Referral to Treatment)"/>
    <n v="3091600"/>
    <n v="3364863.4657002892"/>
  </r>
  <r>
    <s v="PRI-06"/>
    <x v="2"/>
    <s v="Zero Suicide Initiative Pilot"/>
    <n v="0"/>
    <n v="0"/>
  </r>
  <r>
    <s v="PRI-07"/>
    <x v="2"/>
    <s v="Mental Health First Aid"/>
    <n v="326403"/>
    <n v="644274.6110639999"/>
  </r>
  <r>
    <s v="PRI-08"/>
    <x v="2"/>
    <s v="Crisis Intervention Training - First Responders"/>
    <n v="1661320"/>
    <n v="1761017.2702415995"/>
  </r>
  <r>
    <s v="PRI-09"/>
    <x v="2"/>
    <s v="Sexual Assault Behavioral Health Services"/>
    <n v="1031985"/>
    <n v="1093921.9835859"/>
  </r>
  <r>
    <s v="PRI-10"/>
    <x v="2"/>
    <s v="Domestic Violence and Behavioral Health Services &amp; System Coordination"/>
    <n v="1260540"/>
    <n v="1371502.19475234"/>
  </r>
  <r>
    <s v="PRI-11"/>
    <x v="2"/>
    <s v="Community Behavioral Health Treatment"/>
    <n v="23884683"/>
    <n v="26058040.388503194"/>
  </r>
  <r>
    <s v="RR-01"/>
    <x v="3"/>
    <s v="Housing Supportive Services"/>
    <n v="4146712"/>
    <n v="4388753.438314559"/>
  </r>
  <r>
    <s v="RR-02"/>
    <x v="3"/>
    <s v="Behavior Modification Classes at CCAP"/>
    <n v="190402"/>
    <n v="235485.510083712"/>
  </r>
  <r>
    <s v="RR-03"/>
    <x v="3"/>
    <s v="Housing Capital and Rental"/>
    <n v="4849400"/>
    <n v="5140415.909003497"/>
  </r>
  <r>
    <s v="RR-04"/>
    <x v="3"/>
    <s v="Rapid Rehousing-Oxford House Model"/>
    <n v="159232"/>
    <n v="1073791.01844"/>
  </r>
  <r>
    <s v="RR-05"/>
    <x v="3"/>
    <s v="Housing Vouchers for Adult Drug Court"/>
    <n v="468282"/>
    <n v="604282"/>
  </r>
  <r>
    <s v="RR-06"/>
    <x v="3"/>
    <s v="Jail Reentry System of Care"/>
    <n v="949999"/>
    <n v="1867351.5554050899"/>
  </r>
  <r>
    <s v="RR-07"/>
    <x v="3"/>
    <s v="Behavioral Health Risk Assessment Tool for Adult Detention"/>
    <n v="954043"/>
    <n v="1011296.381166792"/>
  </r>
  <r>
    <s v="RR-08"/>
    <x v="3"/>
    <s v="Hospital Re-Entry Respite Beds"/>
    <n v="1881445"/>
    <n v="1994352.0585486116"/>
  </r>
  <r>
    <s v="RR-09"/>
    <x v="3"/>
    <s v="Recovery Café"/>
    <n v="200000"/>
    <n v="748896.2719948029"/>
  </r>
  <r>
    <s v="RR-10"/>
    <x v="3"/>
    <s v="BH Employment Services &amp; Supported Employment"/>
    <n v="2354252"/>
    <n v="2249450.895339899"/>
  </r>
  <r>
    <s v="RR-11A"/>
    <x v="3"/>
    <s v="RR-11a Peer Bridger Programs/RR-11b SUD Peer Support "/>
    <n v="390740"/>
    <n v="1298751.2833831199"/>
  </r>
  <r>
    <s v="RR-11B"/>
    <x v="3"/>
    <s v="SUD Peer Support"/>
    <n v="1000000"/>
    <n v="2352203.4540483197"/>
  </r>
  <r>
    <s v="RR-12"/>
    <x v="3"/>
    <s v="Jail-based SUD Treatment"/>
    <n v="599455"/>
    <n v="954009.630333018"/>
  </r>
  <r>
    <s v="RR-13"/>
    <x v="3"/>
    <s v="Familiar Faces"/>
    <n v="194023"/>
    <n v="309022.61230386"/>
  </r>
  <r>
    <s v="RR-14"/>
    <x v="3"/>
    <s v="Shelter Navigation Services"/>
    <n v="1000000"/>
    <n v="1046579.94"/>
  </r>
  <r>
    <s v="SI-01"/>
    <x v="4"/>
    <s v="Community Driven Behavioral Health Grants "/>
    <n v="0"/>
    <n v="435377.25503999996"/>
  </r>
  <r>
    <s v="SI-02"/>
    <x v="4"/>
    <s v="Rural BH Grants"/>
    <n v="0"/>
    <n v="435377.25503999996"/>
  </r>
  <r>
    <s v="SI-03"/>
    <x v="4"/>
    <s v="Workload Reduction"/>
    <n v="7490314"/>
    <n v="12016760.710407998"/>
  </r>
  <r>
    <s v="SI-04"/>
    <x v="4"/>
    <s v="Workforce Development"/>
    <n v="1017603"/>
    <n v="1595921.37786648"/>
  </r>
  <r>
    <s v="SI-05"/>
    <x v="4"/>
    <s v="Emerging Needs Initiative"/>
    <m/>
    <n v="0"/>
  </r>
  <r>
    <s v="TX-ADC"/>
    <x v="5"/>
    <s v="Adult Drug Court"/>
    <n v="8256350"/>
    <n v="7945991.855602176"/>
  </r>
  <r>
    <s v="TX-FTC"/>
    <x v="5"/>
    <s v="Family Treatment Court"/>
    <n v="3089818"/>
    <n v="4070965.243089408"/>
  </r>
  <r>
    <s v="TX-JDC"/>
    <x v="5"/>
    <s v="Juvenile Drug Court"/>
    <n v="2227880"/>
    <n v="2361802.1747284797"/>
  </r>
  <r>
    <s v="TX-RMHC"/>
    <x v="5"/>
    <s v="Regional MH Court and Regional Veterans’ Court"/>
    <n v="7740017"/>
    <n v="8850370.990952762"/>
  </r>
  <r>
    <s v="TX-SMC"/>
    <x v="5"/>
    <s v="Seattle Mental Health Municipal Court"/>
    <n v="188722"/>
    <n v="200047.26673537202"/>
  </r>
  <r>
    <s v="TX-CCPL"/>
    <x v="5"/>
    <s v="Community Court Planning and Pilot"/>
    <n v="202000"/>
    <n v="942644.0684765158"/>
  </r>
  <r>
    <s v="SP-01"/>
    <x v="6"/>
    <m/>
    <n v="12300174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5">
  <r>
    <s v="ADM"/>
    <x v="0"/>
    <s v="Administration &amp; Evaluation "/>
    <n v="6839770"/>
    <n v="8386299.750349999"/>
    <n v="7908300"/>
    <n v="8822674.154673439"/>
  </r>
  <r>
    <s v="CD-01"/>
    <x v="1"/>
    <s v="Law Enforcement Assisted Diversion (LEAD)"/>
    <n v="0"/>
    <n v="3589500"/>
    <n v="3589500"/>
    <n v="7428509.07376"/>
  </r>
  <r>
    <s v="CD-02"/>
    <x v="1"/>
    <s v="Youth Detention Prevention BH Engagement"/>
    <n v="0"/>
    <n v="607800"/>
    <n v="607800"/>
    <n v="1844486.2067763598"/>
  </r>
  <r>
    <s v="CD-03"/>
    <x v="1"/>
    <s v="Outreach &amp; In reach System of Care"/>
    <n v="1007241"/>
    <n v="830659.9999999999"/>
    <n v="830659.9999999999"/>
    <n v="880508.6351207998"/>
  </r>
  <r>
    <s v="CD-04"/>
    <x v="1"/>
    <s v="South County Crisis Diversion Services/Center"/>
    <n v="0"/>
    <n v="2039000"/>
    <n v="2039000"/>
    <n v="1631278.2553199995"/>
  </r>
  <r>
    <s v="CD-05"/>
    <x v="1"/>
    <s v="High Utilizer Care Teams"/>
    <n v="407174"/>
    <n v="519162.5"/>
    <n v="519162.5"/>
    <n v="550317.8969504999"/>
  </r>
  <r>
    <s v="CD-06"/>
    <x v="1"/>
    <s v="Adult Crisis Diversion Center, Respite Beds and Mobile Behavioral Health Crisis Team"/>
    <n v="12418796"/>
    <n v="10333569"/>
    <n v="10333569"/>
    <n v="11902367.663011719"/>
  </r>
  <r>
    <s v="CD-07"/>
    <x v="1"/>
    <s v="Multipronged Opioid Strategies"/>
    <n v="420000"/>
    <n v="2289000"/>
    <n v="2289000"/>
    <n v="6621373.055319999"/>
  </r>
  <r>
    <s v="CD-08"/>
    <x v="1"/>
    <s v="Children's Domestic Violence Response Team"/>
    <n v="456033"/>
    <n v="571078.75"/>
    <n v="571078.75"/>
    <n v="605349.68664555"/>
  </r>
  <r>
    <s v="CD-09"/>
    <x v="1"/>
    <s v="NEW Behavioral Health Urgent Care-Walk In Clinic Pilot"/>
    <n v="0"/>
    <n v="506500"/>
    <n v="506500"/>
    <n v="0"/>
  </r>
  <r>
    <s v="CD-10"/>
    <x v="1"/>
    <s v="Next Day Crisis Appointments"/>
    <n v="533985"/>
    <n v="622995"/>
    <n v="622995"/>
    <n v="660381.4763405998"/>
  </r>
  <r>
    <s v="CD-11"/>
    <x v="1"/>
    <s v="Children's Crisis Outreach and Response System - CCORS"/>
    <n v="1017887"/>
    <n v="1142157.5"/>
    <n v="1142157.5"/>
    <n v="1210699.3732911"/>
  </r>
  <r>
    <s v="CD-12"/>
    <x v="1"/>
    <s v="Parent Partners Family Assistance"/>
    <n v="788271"/>
    <n v="851426.4999999999"/>
    <n v="851426.4999999999"/>
    <n v="1158165.2466228597"/>
  </r>
  <r>
    <s v="CD-13"/>
    <x v="1"/>
    <s v="Family Intervention Restorative Services - FIRS"/>
    <n v="0"/>
    <n v="2203654.8373499997"/>
    <n v="2203654.8373499997"/>
    <n v="2335897.063680502"/>
  </r>
  <r>
    <s v="CD-14"/>
    <x v="1"/>
    <s v="Involuntary Treatment Triage Pilot"/>
    <n v="0"/>
    <n v="303900"/>
    <n v="303900"/>
    <n v="322137.30553199997"/>
  </r>
  <r>
    <s v="CD-15"/>
    <x v="1"/>
    <s v="Wraparound Services for Youth"/>
    <n v="9159800"/>
    <n v="6229949.999999999"/>
    <n v="6229949.999999999"/>
    <n v="6603814.763405999"/>
  </r>
  <r>
    <s v="CD-16"/>
    <x v="1"/>
    <s v="Youth Respite Alternatives"/>
    <n v="0"/>
    <n v="1276000"/>
    <n v="1276000"/>
    <n v="1046579.94"/>
  </r>
  <r>
    <s v="CD-17"/>
    <x v="1"/>
    <s v="Young Adult Crisis Stabilization"/>
    <n v="0"/>
    <n v="1430000.4500000002"/>
    <n v="1430000.4500000002"/>
    <n v="1995479.329801986"/>
  </r>
  <r>
    <s v="PRI-01"/>
    <x v="2"/>
    <s v="Screening, Brief Intervention and Referral To Treatment-SBIRT"/>
    <n v="1664345"/>
    <n v="1453654.9999999998"/>
    <n v="1453654.9999999998"/>
    <n v="1540890.1114613996"/>
  </r>
  <r>
    <s v="PRI-02"/>
    <x v="2"/>
    <s v="Juvenile Justice Youth Behavioral Health Assessments"/>
    <n v="868601"/>
    <n v="1183690.5"/>
    <n v="1183690.5"/>
    <n v="1254724.80504714"/>
  </r>
  <r>
    <s v="PRI-03"/>
    <x v="2"/>
    <s v="Prevention and Early Intervention Behavioral Health for Adults Over 50"/>
    <n v="922819"/>
    <n v="981879.57635"/>
    <n v="981879.57635"/>
    <n v="1040803.0308729537"/>
  </r>
  <r>
    <s v="PRI-04"/>
    <x v="2"/>
    <s v="Older Adult Crisis Intervention/Geriatric Regional Assessment Team - GRAT"/>
    <n v="641299"/>
    <n v="666604.65"/>
    <n v="666604.65"/>
    <n v="706608.179684442"/>
  </r>
  <r>
    <s v="PRI-05"/>
    <x v="2"/>
    <s v="School-Based SBIRT (Screening, Brief Intervention and Referral to Treatment)"/>
    <n v="3021931"/>
    <n v="3187204.1546"/>
    <n v="3187204.1546"/>
    <n v="3364863.4657002892"/>
  </r>
  <r>
    <s v="PRI-06"/>
    <x v="2"/>
    <s v="Zero Suicide Initiative Pilot"/>
    <n v="0"/>
    <n v="1013000"/>
    <n v="810400"/>
    <n v="0"/>
  </r>
  <r>
    <s v="PRI-07"/>
    <x v="2"/>
    <s v="Mental Health First Aid"/>
    <n v="0"/>
    <n v="405200"/>
    <n v="607800"/>
    <n v="644274.6110639999"/>
  </r>
  <r>
    <s v="PRI-08"/>
    <x v="2"/>
    <s v="Crisis Intervention Training - First Responders"/>
    <n v="1890496"/>
    <n v="1661319.9999999998"/>
    <n v="1661319.9999999998"/>
    <n v="1761017.2702415995"/>
  </r>
  <r>
    <s v="PRI-09"/>
    <x v="2"/>
    <s v="Sexual Assault Behavioral Health Services"/>
    <n v="1015440"/>
    <n v="1183690.5"/>
    <n v="1031991"/>
    <n v="1093921.9835859"/>
  </r>
  <r>
    <s v="PRI-10"/>
    <x v="2"/>
    <s v="Domestic Violence and Behavioral Health Services &amp; System Coordination"/>
    <n v="633616"/>
    <n v="1142157.5"/>
    <n v="1293858"/>
    <n v="1371502.19475234"/>
  </r>
  <r>
    <s v="PRI-11"/>
    <x v="2"/>
    <s v="Community Behavioral Health Treatment"/>
    <n v="22126477"/>
    <n v="24089139.999999996"/>
    <n v="24089139.999999996"/>
    <n v="26058040.388503194"/>
  </r>
  <r>
    <s v="RR-01"/>
    <x v="3"/>
    <s v="Housing Supportive Services"/>
    <n v="4101416"/>
    <n v="4146712"/>
    <n v="4146712"/>
    <n v="4388753.438314559"/>
  </r>
  <r>
    <s v="RR-02"/>
    <x v="3"/>
    <s v="Behavior Modification Classes at CCAP"/>
    <n v="152688"/>
    <n v="157825.40000000002"/>
    <n v="157825.40000000002"/>
    <n v="235485.510083712"/>
  </r>
  <r>
    <s v="RR-03"/>
    <x v="3"/>
    <s v="Housing Capital and Rental"/>
    <n v="1650000"/>
    <n v="4849400.184"/>
    <n v="4849400.184"/>
    <n v="5140415.909003497"/>
  </r>
  <r>
    <s v="RR-04"/>
    <x v="3"/>
    <s v="Rapid Rehousing-Oxford House Model"/>
    <n v="0"/>
    <n v="1013000"/>
    <n v="1013000"/>
    <n v="1073791.01844"/>
  </r>
  <r>
    <s v="RR-05"/>
    <x v="3"/>
    <s v="Housing Vouchers for Adult Drug Court"/>
    <n v="227819"/>
    <n v="468282.49834999995"/>
    <n v="468282.49834999995"/>
    <n v="604282"/>
  </r>
  <r>
    <s v="RR-06"/>
    <x v="3"/>
    <s v="Jail Reentry System of Care"/>
    <n v="812734"/>
    <n v="882576.2499999999"/>
    <n v="882576.2499999999"/>
    <n v="1867351.5554050899"/>
  </r>
  <r>
    <s v="RR-07"/>
    <x v="3"/>
    <s v="Behavioral Health Risk Assessment Tool for Adult Detention"/>
    <n v="0"/>
    <n v="954043.4"/>
    <n v="954043.4"/>
    <n v="1011296.381166792"/>
  </r>
  <r>
    <s v="RR-08"/>
    <x v="3"/>
    <s v="Hospital Re-Entry Respite Beds"/>
    <n v="1035241"/>
    <n v="1881444.9"/>
    <n v="1881444.9"/>
    <n v="1994352.0585486116"/>
  </r>
  <r>
    <s v="RR-09"/>
    <x v="3"/>
    <s v="Recovery Café"/>
    <n v="0"/>
    <n v="706499.642"/>
    <n v="706499.642"/>
    <n v="748896.2719948029"/>
  </r>
  <r>
    <s v="RR-10"/>
    <x v="3"/>
    <s v="BH Employment Services &amp; Supported Employment"/>
    <n v="2300708"/>
    <n v="1972817.4999999998"/>
    <n v="1972817.4999999998"/>
    <n v="2249450.895339899"/>
  </r>
  <r>
    <s v="RR-11A &amp; B"/>
    <x v="3"/>
    <s v="RR-11a Peer Bridger Programs/RR-11b SUD Peer Support "/>
    <n v="590000"/>
    <n v="1557487.4999999998"/>
    <n v="1557487.4999999998"/>
    <n v="3650954.28338312"/>
  </r>
  <r>
    <s v="RR-12"/>
    <x v="3"/>
    <s v="Jail-based SUD Treatment"/>
    <n v="0"/>
    <n v="899999.8500000001"/>
    <n v="899999.8500000001"/>
    <n v="954009.630333018"/>
  </r>
  <r>
    <s v="RR-13"/>
    <x v="3"/>
    <s v="Familiar Faces"/>
    <n v="0"/>
    <n v="192602"/>
    <n v="194023"/>
    <n v="309022.61230386"/>
  </r>
  <r>
    <s v="RR-14"/>
    <x v="3"/>
    <s v="Shelter Navigation Services"/>
    <n v="0"/>
    <m/>
    <n v="1000000"/>
    <n v="1046579.94"/>
  </r>
  <r>
    <s v="SI-01"/>
    <x v="4"/>
    <s v="Community Driven Behavioral Health Grants "/>
    <n v="0"/>
    <n v="709100"/>
    <n v="709100"/>
    <n v="435377.25503999996"/>
  </r>
  <r>
    <s v="SI-02"/>
    <x v="4"/>
    <s v="Rural BH Grants"/>
    <n v="0"/>
    <n v="709100"/>
    <n v="709100"/>
    <n v="435377.25503999996"/>
  </r>
  <r>
    <s v="SI-03"/>
    <x v="4"/>
    <s v="Workload Reduction"/>
    <n v="8202832"/>
    <n v="8306600"/>
    <n v="8306600"/>
    <n v="12016760.710407998"/>
  </r>
  <r>
    <s v="SI-04"/>
    <x v="4"/>
    <s v="Workforce Development"/>
    <n v="1730203"/>
    <n v="1505571.2499999998"/>
    <n v="1505571.2499999998"/>
    <n v="1595921.37786648"/>
  </r>
  <r>
    <s v="SI-05"/>
    <x v="4"/>
    <s v="Emerging Needs Initiative"/>
    <n v="0"/>
    <n v="1316900"/>
    <n v="0"/>
    <n v="0"/>
  </r>
  <r>
    <s v="TX-ADC"/>
    <x v="5"/>
    <s v="Adult Drug Court"/>
    <n v="7267294"/>
    <n v="8439000.126"/>
    <n v="8456350"/>
    <n v="7945991.855602176"/>
  </r>
  <r>
    <s v="TX-FTC"/>
    <x v="5"/>
    <s v="Family Treatment Court"/>
    <n v="2412116"/>
    <n v="2907999.84"/>
    <n v="2908111"/>
    <n v="4070965.243089408"/>
  </r>
  <r>
    <s v="TX-JDC"/>
    <x v="5"/>
    <s v="Juvenile Drug Court"/>
    <n v="1878267"/>
    <n v="2227000.486"/>
    <n v="2227880"/>
    <n v="2361802.1747284797"/>
  </r>
  <r>
    <s v="TX-RMHC"/>
    <x v="5"/>
    <s v="Regional MH Court and Regional Veterans’ Court"/>
    <n v="7691761"/>
    <n v="7832000.396"/>
    <n v="7840017"/>
    <n v="8850370.990952762"/>
  </r>
  <r>
    <s v="TX-SMC"/>
    <x v="5"/>
    <s v="Seattle Mental Health Municipal Court"/>
    <n v="176000"/>
    <n v="188721.90000000002"/>
    <n v="188721.90000000002"/>
    <n v="200047.26673537202"/>
  </r>
  <r>
    <s v="TX-CCPL"/>
    <x v="5"/>
    <s v="Community Court Planning and Pilot"/>
    <n v="0"/>
    <n v="100000"/>
    <n v="100000"/>
    <n v="942644.0684765158"/>
  </r>
  <r>
    <s v="SP-01"/>
    <x v="6"/>
    <s v="Consejo one-time funding"/>
    <n v="0"/>
    <n v="0"/>
    <n v="50000"/>
    <n v="0"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5" updatedVersion="5" indent="0" multipleFieldFilters="0" showMemberPropertyTips="1">
  <location ref="A3:C11" firstHeaderRow="0" firstDataRow="1" firstDataCol="1"/>
  <pivotFields count="5">
    <pivotField showAll="0"/>
    <pivotField axis="axisRow" showAll="0">
      <items count="9">
        <item x="0"/>
        <item x="1"/>
        <item x="2"/>
        <item x="3"/>
        <item x="4"/>
        <item x="5"/>
        <item m="1" x="7"/>
        <item x="6"/>
        <item t="default"/>
      </items>
    </pivotField>
    <pivotField showAll="0"/>
    <pivotField dataField="1" showAll="0"/>
    <pivotField dataField="1" showAll="0" numFmtId="164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2019-2020 Total by Initiative" fld="4" baseField="0" baseItem="0"/>
    <dataField name="Sum of 2017-2018 Estimated Total Expenditures" fld="3" baseField="1" baseItem="0"/>
  </dataFields>
  <formats count="1">
    <format dxfId="1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5" updatedVersion="5" indent="0" multipleFieldFilters="0" showMemberPropertyTips="1">
  <location ref="A3:D11" firstHeaderRow="0" firstDataRow="1" firstDataCol="1"/>
  <pivotFields count="7">
    <pivotField showAll="0"/>
    <pivotField axis="axisRow" showAll="0">
      <items count="10">
        <item m="1" x="8"/>
        <item x="1"/>
        <item x="2"/>
        <item x="3"/>
        <item x="4"/>
        <item x="5"/>
        <item x="6"/>
        <item m="1" x="7"/>
        <item x="0"/>
        <item t="default"/>
      </items>
    </pivotField>
    <pivotField showAll="0"/>
    <pivotField dataField="1" showAll="0"/>
    <pivotField showAll="0"/>
    <pivotField dataField="1" showAll="0" numFmtId="164"/>
    <pivotField dataField="1" showAll="0" numFmtId="164"/>
  </pivotFields>
  <rowFields count="1">
    <field x="1"/>
  </rowFields>
  <rowItems count="8">
    <i>
      <x v="1"/>
    </i>
    <i>
      <x v="2"/>
    </i>
    <i>
      <x v="3"/>
    </i>
    <i>
      <x v="4"/>
    </i>
    <i>
      <x v="5"/>
    </i>
    <i>
      <x v="6"/>
    </i>
    <i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2015-2016 Budget" fld="3" baseField="1" baseItem="454401032"/>
    <dataField name="Sum of 2017-2018 Adopted Budget" fld="5" baseField="0" baseItem="0"/>
    <dataField name="Sum of 2019-2020 Total by Initiative" fld="6" baseField="0" baseItem="0"/>
  </dataFields>
  <formats count="1">
    <format dxfId="0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2"/>
  <sheetViews>
    <sheetView workbookViewId="0" topLeftCell="A1">
      <selection activeCell="E45" sqref="E45"/>
    </sheetView>
  </sheetViews>
  <sheetFormatPr defaultColWidth="9.140625" defaultRowHeight="15"/>
  <cols>
    <col min="1" max="1" width="13.140625" style="0" bestFit="1" customWidth="1"/>
    <col min="2" max="2" width="32.8515625" style="0" bestFit="1" customWidth="1"/>
    <col min="3" max="3" width="43.7109375" style="0" customWidth="1"/>
  </cols>
  <sheetData>
    <row r="3" spans="1:3" ht="15">
      <c r="A3" s="37" t="s">
        <v>121</v>
      </c>
      <c r="B3" t="s">
        <v>123</v>
      </c>
      <c r="C3" t="s">
        <v>124</v>
      </c>
    </row>
    <row r="4" spans="1:3" ht="15">
      <c r="A4" s="38" t="s">
        <v>4</v>
      </c>
      <c r="B4" s="41">
        <v>8822674.154673439</v>
      </c>
      <c r="C4" s="41">
        <v>5450797</v>
      </c>
    </row>
    <row r="5" spans="1:3" ht="15">
      <c r="A5" s="38" t="s">
        <v>116</v>
      </c>
      <c r="B5" s="41">
        <v>46797344.97157997</v>
      </c>
      <c r="C5" s="41">
        <v>31027561</v>
      </c>
    </row>
    <row r="6" spans="1:3" ht="15">
      <c r="A6" s="38" t="s">
        <v>117</v>
      </c>
      <c r="B6" s="41">
        <v>38836646.040913254</v>
      </c>
      <c r="C6" s="41">
        <v>34519405</v>
      </c>
    </row>
    <row r="7" spans="1:3" ht="15">
      <c r="A7" s="38" t="s">
        <v>118</v>
      </c>
      <c r="B7" s="41">
        <v>25274641.958365284</v>
      </c>
      <c r="C7" s="41">
        <v>19337985</v>
      </c>
    </row>
    <row r="8" spans="1:3" ht="15">
      <c r="A8" s="38" t="s">
        <v>119</v>
      </c>
      <c r="B8" s="41">
        <v>14483436.59835448</v>
      </c>
      <c r="C8" s="41">
        <v>8507917</v>
      </c>
    </row>
    <row r="9" spans="1:3" ht="15">
      <c r="A9" s="38" t="s">
        <v>120</v>
      </c>
      <c r="B9" s="41">
        <v>24371821.599584714</v>
      </c>
      <c r="C9" s="41">
        <v>21704787</v>
      </c>
    </row>
    <row r="10" spans="1:3" ht="15">
      <c r="A10" s="38" t="s">
        <v>125</v>
      </c>
      <c r="B10" s="41">
        <v>0</v>
      </c>
      <c r="C10" s="41">
        <v>12300174</v>
      </c>
    </row>
    <row r="11" spans="1:3" ht="15">
      <c r="A11" s="38" t="s">
        <v>122</v>
      </c>
      <c r="B11" s="41">
        <v>158586565.32347113</v>
      </c>
      <c r="C11" s="41">
        <v>132848626</v>
      </c>
    </row>
    <row r="14" spans="1:3" ht="15">
      <c r="A14" s="40" t="s">
        <v>121</v>
      </c>
      <c r="B14" s="40" t="s">
        <v>123</v>
      </c>
      <c r="C14" s="40" t="s">
        <v>124</v>
      </c>
    </row>
    <row r="15" spans="1:4" ht="15">
      <c r="A15" s="38" t="s">
        <v>4</v>
      </c>
      <c r="B15" s="41">
        <v>8822674.15467344</v>
      </c>
      <c r="C15" s="41">
        <v>5450797</v>
      </c>
      <c r="D15" s="43">
        <f>+(B15/C15)-1</f>
        <v>0.618602592368316</v>
      </c>
    </row>
    <row r="16" spans="1:4" ht="15">
      <c r="A16" s="38" t="s">
        <v>116</v>
      </c>
      <c r="B16" s="41">
        <v>46797344.97157997</v>
      </c>
      <c r="C16" s="41">
        <v>31027561</v>
      </c>
      <c r="D16" s="43">
        <f aca="true" t="shared" si="0" ref="D16:D21">+(B16/C16)-1</f>
        <v>0.5082508409726427</v>
      </c>
    </row>
    <row r="17" spans="1:4" ht="15">
      <c r="A17" s="38" t="s">
        <v>117</v>
      </c>
      <c r="B17" s="41">
        <v>38836646.040913254</v>
      </c>
      <c r="C17" s="41">
        <v>34519405</v>
      </c>
      <c r="D17" s="43">
        <f t="shared" si="0"/>
        <v>0.1250670757770378</v>
      </c>
    </row>
    <row r="18" spans="1:4" ht="15">
      <c r="A18" s="38" t="s">
        <v>118</v>
      </c>
      <c r="B18" s="41">
        <v>25274641.958365284</v>
      </c>
      <c r="C18" s="41">
        <v>19337985</v>
      </c>
      <c r="D18" s="43">
        <f t="shared" si="0"/>
        <v>0.3069945994045027</v>
      </c>
    </row>
    <row r="19" spans="1:4" ht="15">
      <c r="A19" s="38" t="s">
        <v>119</v>
      </c>
      <c r="B19" s="41">
        <v>14483436.59835448</v>
      </c>
      <c r="C19" s="41">
        <v>8507917</v>
      </c>
      <c r="D19" s="43">
        <f t="shared" si="0"/>
        <v>0.7023481303772097</v>
      </c>
    </row>
    <row r="20" spans="1:4" ht="15">
      <c r="A20" s="38" t="s">
        <v>120</v>
      </c>
      <c r="B20" s="41">
        <v>24371821.599584714</v>
      </c>
      <c r="C20" s="41">
        <v>21704787</v>
      </c>
      <c r="D20" s="43">
        <f t="shared" si="0"/>
        <v>0.12287771354700294</v>
      </c>
    </row>
    <row r="21" spans="1:4" ht="15">
      <c r="A21" s="38" t="s">
        <v>125</v>
      </c>
      <c r="B21" s="41">
        <v>0</v>
      </c>
      <c r="C21" s="41">
        <v>12300174</v>
      </c>
      <c r="D21" s="43">
        <f t="shared" si="0"/>
        <v>-1</v>
      </c>
    </row>
    <row r="22" spans="1:3" ht="15">
      <c r="A22" s="39" t="s">
        <v>122</v>
      </c>
      <c r="B22" s="42">
        <v>158586565.32347113</v>
      </c>
      <c r="C22" s="42">
        <v>132848626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 topLeftCell="A1">
      <selection activeCell="E45" sqref="E45"/>
    </sheetView>
  </sheetViews>
  <sheetFormatPr defaultColWidth="9.140625" defaultRowHeight="15"/>
  <cols>
    <col min="1" max="2" width="15.57421875" style="34" customWidth="1"/>
    <col min="3" max="3" width="40.00390625" style="34" customWidth="1"/>
    <col min="4" max="4" width="17.7109375" style="35" customWidth="1"/>
    <col min="5" max="5" width="22.28125" style="35" customWidth="1"/>
    <col min="6" max="6" width="12.28125" style="0" bestFit="1" customWidth="1"/>
    <col min="8" max="8" width="57.140625" style="45" customWidth="1"/>
  </cols>
  <sheetData>
    <row r="1" spans="1:5" ht="15">
      <c r="A1" s="1"/>
      <c r="B1" s="1"/>
      <c r="C1" s="2"/>
      <c r="D1" s="3"/>
      <c r="E1" s="4"/>
    </row>
    <row r="2" spans="1:5" ht="15">
      <c r="A2" s="1"/>
      <c r="B2" s="1"/>
      <c r="C2" s="1"/>
      <c r="D2" s="3"/>
      <c r="E2" s="5"/>
    </row>
    <row r="3" spans="1:5" ht="75">
      <c r="A3" s="6" t="s">
        <v>0</v>
      </c>
      <c r="B3" s="6" t="s">
        <v>115</v>
      </c>
      <c r="C3" s="6" t="s">
        <v>1</v>
      </c>
      <c r="D3" s="7" t="s">
        <v>2</v>
      </c>
      <c r="E3" s="7" t="s">
        <v>3</v>
      </c>
    </row>
    <row r="4" spans="1:8" ht="30">
      <c r="A4" s="8" t="s">
        <v>4</v>
      </c>
      <c r="B4" s="8" t="s">
        <v>4</v>
      </c>
      <c r="C4" s="9" t="s">
        <v>5</v>
      </c>
      <c r="D4" s="10">
        <v>5450797</v>
      </c>
      <c r="E4" s="10">
        <v>8822674.154673439</v>
      </c>
      <c r="F4" s="36">
        <f>+E4-D4</f>
        <v>3371877.1546734385</v>
      </c>
      <c r="G4" s="44">
        <f>+(E4/D4)-1</f>
        <v>0.6186025923683158</v>
      </c>
      <c r="H4" s="46" t="s">
        <v>134</v>
      </c>
    </row>
    <row r="5" spans="1:8" ht="37.5">
      <c r="A5" s="11" t="s">
        <v>6</v>
      </c>
      <c r="B5" s="11" t="s">
        <v>116</v>
      </c>
      <c r="C5" s="12" t="s">
        <v>7</v>
      </c>
      <c r="D5" s="13">
        <f>3519707+50000</f>
        <v>3569707</v>
      </c>
      <c r="E5" s="13">
        <v>7428509.07376</v>
      </c>
      <c r="F5" s="36">
        <f>+E5-D5</f>
        <v>3858802.07376</v>
      </c>
      <c r="G5" s="44">
        <f aca="true" t="shared" si="0" ref="G5:G58">+(E5/D5)-1</f>
        <v>1.0809856589798548</v>
      </c>
      <c r="H5" s="45" t="s">
        <v>126</v>
      </c>
    </row>
    <row r="6" spans="1:8" ht="37.5">
      <c r="A6" s="11" t="s">
        <v>8</v>
      </c>
      <c r="B6" s="11" t="s">
        <v>116</v>
      </c>
      <c r="C6" s="12" t="s">
        <v>9</v>
      </c>
      <c r="D6" s="13">
        <v>607794</v>
      </c>
      <c r="E6" s="13">
        <v>1844486.2067763598</v>
      </c>
      <c r="F6" s="36">
        <f aca="true" t="shared" si="1" ref="F6:F58">+E6-D6</f>
        <v>1236692.2067763598</v>
      </c>
      <c r="G6" s="44">
        <f t="shared" si="0"/>
        <v>2.034722630984116</v>
      </c>
      <c r="H6" s="45" t="s">
        <v>127</v>
      </c>
    </row>
    <row r="7" spans="1:7" ht="37.5">
      <c r="A7" s="11" t="s">
        <v>10</v>
      </c>
      <c r="B7" s="11" t="s">
        <v>116</v>
      </c>
      <c r="C7" s="14" t="s">
        <v>11</v>
      </c>
      <c r="D7" s="13">
        <v>764374</v>
      </c>
      <c r="E7" s="13">
        <v>880508.6351207998</v>
      </c>
      <c r="F7" s="36">
        <f t="shared" si="1"/>
        <v>116134.63512079976</v>
      </c>
      <c r="G7" s="43">
        <f t="shared" si="0"/>
        <v>0.15193430849400924</v>
      </c>
    </row>
    <row r="8" spans="1:7" ht="37.5">
      <c r="A8" s="11" t="s">
        <v>12</v>
      </c>
      <c r="B8" s="11" t="s">
        <v>116</v>
      </c>
      <c r="C8" s="12" t="s">
        <v>13</v>
      </c>
      <c r="D8" s="13">
        <v>0</v>
      </c>
      <c r="E8" s="13">
        <v>1631278.2553199995</v>
      </c>
      <c r="F8" s="36">
        <f t="shared" si="1"/>
        <v>1631278.2553199995</v>
      </c>
      <c r="G8" s="43"/>
    </row>
    <row r="9" spans="1:7" ht="15">
      <c r="A9" s="11" t="s">
        <v>14</v>
      </c>
      <c r="B9" s="11" t="s">
        <v>116</v>
      </c>
      <c r="C9" s="14" t="s">
        <v>15</v>
      </c>
      <c r="D9" s="13">
        <v>516782</v>
      </c>
      <c r="E9" s="13">
        <v>550317.8969504999</v>
      </c>
      <c r="F9" s="36">
        <f t="shared" si="1"/>
        <v>33535.89695049985</v>
      </c>
      <c r="G9" s="43">
        <f t="shared" si="0"/>
        <v>0.06489370169723374</v>
      </c>
    </row>
    <row r="10" spans="1:7" ht="56.25">
      <c r="A10" s="11" t="s">
        <v>16</v>
      </c>
      <c r="B10" s="11" t="s">
        <v>116</v>
      </c>
      <c r="C10" s="12" t="s">
        <v>17</v>
      </c>
      <c r="D10" s="13">
        <v>9353979</v>
      </c>
      <c r="E10" s="13">
        <v>11902367.663011719</v>
      </c>
      <c r="F10" s="36">
        <f t="shared" si="1"/>
        <v>2548388.6630117185</v>
      </c>
      <c r="G10" s="43">
        <f t="shared" si="0"/>
        <v>0.27243899767272506</v>
      </c>
    </row>
    <row r="11" spans="1:8" ht="45">
      <c r="A11" s="11" t="s">
        <v>18</v>
      </c>
      <c r="B11" s="11" t="s">
        <v>116</v>
      </c>
      <c r="C11" s="12" t="s">
        <v>19</v>
      </c>
      <c r="D11" s="13">
        <v>2239000</v>
      </c>
      <c r="E11" s="13">
        <v>6621373.055319999</v>
      </c>
      <c r="F11" s="36">
        <f t="shared" si="1"/>
        <v>4382373.055319999</v>
      </c>
      <c r="G11" s="44">
        <f t="shared" si="0"/>
        <v>1.95729033288075</v>
      </c>
      <c r="H11" s="45" t="s">
        <v>129</v>
      </c>
    </row>
    <row r="12" spans="1:7" ht="37.5">
      <c r="A12" s="11" t="s">
        <v>20</v>
      </c>
      <c r="B12" s="11" t="s">
        <v>116</v>
      </c>
      <c r="C12" s="14" t="s">
        <v>21</v>
      </c>
      <c r="D12" s="13">
        <v>571075</v>
      </c>
      <c r="E12" s="13">
        <v>605349.68664555</v>
      </c>
      <c r="F12" s="36">
        <f t="shared" si="1"/>
        <v>34274.686645549955</v>
      </c>
      <c r="G12" s="43">
        <f t="shared" si="0"/>
        <v>0.060017837666768825</v>
      </c>
    </row>
    <row r="13" spans="1:7" ht="37.5">
      <c r="A13" s="11" t="s">
        <v>22</v>
      </c>
      <c r="B13" s="11" t="s">
        <v>116</v>
      </c>
      <c r="C13" s="12" t="s">
        <v>23</v>
      </c>
      <c r="D13" s="13">
        <v>0</v>
      </c>
      <c r="E13" s="13">
        <v>0</v>
      </c>
      <c r="F13" s="36">
        <f t="shared" si="1"/>
        <v>0</v>
      </c>
      <c r="G13" s="43"/>
    </row>
    <row r="14" spans="1:7" ht="15">
      <c r="A14" s="11" t="s">
        <v>24</v>
      </c>
      <c r="B14" s="11" t="s">
        <v>116</v>
      </c>
      <c r="C14" s="14" t="s">
        <v>25</v>
      </c>
      <c r="D14" s="13">
        <v>614975</v>
      </c>
      <c r="E14" s="13">
        <v>660381.4763405998</v>
      </c>
      <c r="F14" s="36">
        <f t="shared" si="1"/>
        <v>45406.476340599824</v>
      </c>
      <c r="G14" s="43">
        <f t="shared" si="0"/>
        <v>0.07383467025586388</v>
      </c>
    </row>
    <row r="15" spans="1:7" ht="37.5">
      <c r="A15" s="11" t="s">
        <v>26</v>
      </c>
      <c r="B15" s="11" t="s">
        <v>116</v>
      </c>
      <c r="C15" s="14" t="s">
        <v>27</v>
      </c>
      <c r="D15" s="13">
        <v>963280</v>
      </c>
      <c r="E15" s="13">
        <v>1210699.3732911</v>
      </c>
      <c r="F15" s="36">
        <f t="shared" si="1"/>
        <v>247419.3732910999</v>
      </c>
      <c r="G15" s="43">
        <f t="shared" si="0"/>
        <v>0.25685093980057716</v>
      </c>
    </row>
    <row r="16" spans="1:7" ht="15">
      <c r="A16" s="11" t="s">
        <v>28</v>
      </c>
      <c r="B16" s="11" t="s">
        <v>116</v>
      </c>
      <c r="C16" s="14" t="s">
        <v>29</v>
      </c>
      <c r="D16" s="13">
        <v>1036427</v>
      </c>
      <c r="E16" s="13">
        <v>1158165.2466228597</v>
      </c>
      <c r="F16" s="36">
        <f t="shared" si="1"/>
        <v>121738.24662285973</v>
      </c>
      <c r="G16" s="43">
        <f t="shared" si="0"/>
        <v>0.11745954767953726</v>
      </c>
    </row>
    <row r="17" spans="1:7" ht="37.5">
      <c r="A17" s="11" t="s">
        <v>30</v>
      </c>
      <c r="B17" s="11" t="s">
        <v>116</v>
      </c>
      <c r="C17" s="12" t="s">
        <v>31</v>
      </c>
      <c r="D17" s="13">
        <v>2203655</v>
      </c>
      <c r="E17" s="13">
        <v>2335897.063680502</v>
      </c>
      <c r="F17" s="36">
        <f t="shared" si="1"/>
        <v>132242.06368050212</v>
      </c>
      <c r="G17" s="43">
        <f t="shared" si="0"/>
        <v>0.06001032996567157</v>
      </c>
    </row>
    <row r="18" spans="1:7" ht="15">
      <c r="A18" s="11" t="s">
        <v>32</v>
      </c>
      <c r="B18" s="11" t="s">
        <v>116</v>
      </c>
      <c r="C18" s="12" t="s">
        <v>33</v>
      </c>
      <c r="D18" s="13">
        <v>303900</v>
      </c>
      <c r="E18" s="13">
        <v>322137.30553199997</v>
      </c>
      <c r="F18" s="36">
        <f t="shared" si="1"/>
        <v>18237.30553199997</v>
      </c>
      <c r="G18" s="43">
        <f t="shared" si="0"/>
        <v>0.0600108770384995</v>
      </c>
    </row>
    <row r="19" spans="1:7" ht="15">
      <c r="A19" s="11" t="s">
        <v>34</v>
      </c>
      <c r="B19" s="11" t="s">
        <v>116</v>
      </c>
      <c r="C19" s="14" t="s">
        <v>35</v>
      </c>
      <c r="D19" s="13">
        <v>6229950</v>
      </c>
      <c r="E19" s="13">
        <v>6603814.763405999</v>
      </c>
      <c r="F19" s="36">
        <f t="shared" si="1"/>
        <v>373864.76340599917</v>
      </c>
      <c r="G19" s="43">
        <f t="shared" si="0"/>
        <v>0.06001087703849928</v>
      </c>
    </row>
    <row r="20" spans="1:8" ht="15">
      <c r="A20" s="11" t="s">
        <v>36</v>
      </c>
      <c r="B20" s="11" t="s">
        <v>116</v>
      </c>
      <c r="C20" s="12" t="s">
        <v>37</v>
      </c>
      <c r="D20" s="13">
        <v>622680</v>
      </c>
      <c r="E20" s="13">
        <v>1046579.94</v>
      </c>
      <c r="F20" s="36">
        <f t="shared" si="1"/>
        <v>423899.93999999994</v>
      </c>
      <c r="G20" s="44">
        <f t="shared" si="0"/>
        <v>0.6807669107727885</v>
      </c>
      <c r="H20" s="45" t="s">
        <v>128</v>
      </c>
    </row>
    <row r="21" spans="1:7" ht="15">
      <c r="A21" s="11" t="s">
        <v>38</v>
      </c>
      <c r="B21" s="11" t="s">
        <v>116</v>
      </c>
      <c r="C21" s="12" t="s">
        <v>39</v>
      </c>
      <c r="D21" s="13">
        <v>1429983</v>
      </c>
      <c r="E21" s="13">
        <v>1995479.329801986</v>
      </c>
      <c r="F21" s="36">
        <f t="shared" si="1"/>
        <v>565496.329801986</v>
      </c>
      <c r="G21" s="43">
        <f t="shared" si="0"/>
        <v>0.39545668011576773</v>
      </c>
    </row>
    <row r="22" spans="1:7" ht="37.5">
      <c r="A22" s="15" t="s">
        <v>40</v>
      </c>
      <c r="B22" s="15" t="s">
        <v>117</v>
      </c>
      <c r="C22" s="16" t="s">
        <v>41</v>
      </c>
      <c r="D22" s="17">
        <v>1341481</v>
      </c>
      <c r="E22" s="17">
        <v>1540890.1114613996</v>
      </c>
      <c r="F22" s="36">
        <f t="shared" si="1"/>
        <v>199409.1114613996</v>
      </c>
      <c r="G22" s="43">
        <f t="shared" si="0"/>
        <v>0.14864847989751584</v>
      </c>
    </row>
    <row r="23" spans="1:8" ht="37.5">
      <c r="A23" s="15" t="s">
        <v>42</v>
      </c>
      <c r="B23" s="15" t="s">
        <v>117</v>
      </c>
      <c r="C23" s="16" t="s">
        <v>43</v>
      </c>
      <c r="D23" s="17">
        <v>775000</v>
      </c>
      <c r="E23" s="17">
        <v>1254724.80504714</v>
      </c>
      <c r="F23" s="36">
        <f t="shared" si="1"/>
        <v>479724.80504714</v>
      </c>
      <c r="G23" s="44">
        <f t="shared" si="0"/>
        <v>0.6189997484479226</v>
      </c>
      <c r="H23" s="46" t="s">
        <v>133</v>
      </c>
    </row>
    <row r="24" spans="1:7" ht="56.25">
      <c r="A24" s="15" t="s">
        <v>44</v>
      </c>
      <c r="B24" s="15" t="s">
        <v>117</v>
      </c>
      <c r="C24" s="18" t="s">
        <v>45</v>
      </c>
      <c r="D24" s="17">
        <v>981880</v>
      </c>
      <c r="E24" s="17">
        <v>1040803.0308729537</v>
      </c>
      <c r="F24" s="36">
        <f t="shared" si="1"/>
        <v>58923.03087295371</v>
      </c>
      <c r="G24" s="43">
        <f t="shared" si="0"/>
        <v>0.060010419677510196</v>
      </c>
    </row>
    <row r="25" spans="1:8" ht="56.25">
      <c r="A25" s="15" t="s">
        <v>46</v>
      </c>
      <c r="B25" s="15" t="s">
        <v>117</v>
      </c>
      <c r="C25" s="16" t="s">
        <v>47</v>
      </c>
      <c r="D25" s="17">
        <v>164513</v>
      </c>
      <c r="E25" s="17">
        <v>706608.179684442</v>
      </c>
      <c r="F25" s="36">
        <f t="shared" si="1"/>
        <v>542095.179684442</v>
      </c>
      <c r="G25" s="44">
        <f t="shared" si="0"/>
        <v>3.295151019581686</v>
      </c>
      <c r="H25" s="46" t="s">
        <v>133</v>
      </c>
    </row>
    <row r="26" spans="1:7" ht="56.25">
      <c r="A26" s="15" t="s">
        <v>48</v>
      </c>
      <c r="B26" s="15" t="s">
        <v>117</v>
      </c>
      <c r="C26" s="16" t="s">
        <v>49</v>
      </c>
      <c r="D26" s="17">
        <v>3091600</v>
      </c>
      <c r="E26" s="17">
        <v>3364863.4657002892</v>
      </c>
      <c r="F26" s="36">
        <f t="shared" si="1"/>
        <v>273263.46570028923</v>
      </c>
      <c r="G26" s="43">
        <f t="shared" si="0"/>
        <v>0.0883890107712153</v>
      </c>
    </row>
    <row r="27" spans="1:7" ht="15">
      <c r="A27" s="15" t="s">
        <v>50</v>
      </c>
      <c r="B27" s="15" t="s">
        <v>117</v>
      </c>
      <c r="C27" s="18" t="s">
        <v>51</v>
      </c>
      <c r="D27" s="17">
        <v>0</v>
      </c>
      <c r="E27" s="17">
        <v>0</v>
      </c>
      <c r="F27" s="36">
        <f t="shared" si="1"/>
        <v>0</v>
      </c>
      <c r="G27" s="43"/>
    </row>
    <row r="28" spans="1:8" ht="15">
      <c r="A28" s="15" t="s">
        <v>52</v>
      </c>
      <c r="B28" s="15" t="s">
        <v>117</v>
      </c>
      <c r="C28" s="18" t="s">
        <v>53</v>
      </c>
      <c r="D28" s="17">
        <v>326403</v>
      </c>
      <c r="E28" s="17">
        <v>644274.6110639999</v>
      </c>
      <c r="F28" s="36">
        <f t="shared" si="1"/>
        <v>317871.61106399994</v>
      </c>
      <c r="G28" s="44">
        <f t="shared" si="0"/>
        <v>0.9738624064852344</v>
      </c>
      <c r="H28" s="46" t="s">
        <v>133</v>
      </c>
    </row>
    <row r="29" spans="1:7" ht="37.5">
      <c r="A29" s="15" t="s">
        <v>54</v>
      </c>
      <c r="B29" s="15" t="s">
        <v>117</v>
      </c>
      <c r="C29" s="16" t="s">
        <v>55</v>
      </c>
      <c r="D29" s="17">
        <v>1661320</v>
      </c>
      <c r="E29" s="17">
        <v>1761017.2702415995</v>
      </c>
      <c r="F29" s="36">
        <f t="shared" si="1"/>
        <v>99697.27024159953</v>
      </c>
      <c r="G29" s="43">
        <f t="shared" si="0"/>
        <v>0.06001087703849928</v>
      </c>
    </row>
    <row r="30" spans="1:7" ht="37.5">
      <c r="A30" s="15" t="s">
        <v>56</v>
      </c>
      <c r="B30" s="15" t="s">
        <v>117</v>
      </c>
      <c r="C30" s="16" t="s">
        <v>57</v>
      </c>
      <c r="D30" s="17">
        <v>1031985</v>
      </c>
      <c r="E30" s="17">
        <v>1093921.9835859</v>
      </c>
      <c r="F30" s="36">
        <f t="shared" si="1"/>
        <v>61936.98358589993</v>
      </c>
      <c r="G30" s="43">
        <f t="shared" si="0"/>
        <v>0.06001732930798398</v>
      </c>
    </row>
    <row r="31" spans="1:7" ht="56.25">
      <c r="A31" s="15" t="s">
        <v>58</v>
      </c>
      <c r="B31" s="15" t="s">
        <v>117</v>
      </c>
      <c r="C31" s="16" t="s">
        <v>59</v>
      </c>
      <c r="D31" s="17">
        <v>1260540</v>
      </c>
      <c r="E31" s="17">
        <v>1371502.19475234</v>
      </c>
      <c r="F31" s="36">
        <f t="shared" si="1"/>
        <v>110962.19475233997</v>
      </c>
      <c r="G31" s="43">
        <f t="shared" si="0"/>
        <v>0.08802750785563318</v>
      </c>
    </row>
    <row r="32" spans="1:7" ht="37.5">
      <c r="A32" s="15" t="s">
        <v>60</v>
      </c>
      <c r="B32" s="15" t="s">
        <v>117</v>
      </c>
      <c r="C32" s="16" t="s">
        <v>61</v>
      </c>
      <c r="D32" s="17">
        <v>23884683</v>
      </c>
      <c r="E32" s="17">
        <v>26058040.388503194</v>
      </c>
      <c r="F32" s="36">
        <f t="shared" si="1"/>
        <v>2173357.388503194</v>
      </c>
      <c r="G32" s="43">
        <f t="shared" si="0"/>
        <v>0.09099377155238741</v>
      </c>
    </row>
    <row r="33" spans="1:7" ht="15">
      <c r="A33" s="19" t="s">
        <v>62</v>
      </c>
      <c r="B33" s="19" t="s">
        <v>118</v>
      </c>
      <c r="C33" s="20" t="s">
        <v>63</v>
      </c>
      <c r="D33" s="21">
        <v>4146712</v>
      </c>
      <c r="E33" s="21">
        <v>4388753.438314559</v>
      </c>
      <c r="F33" s="36">
        <f t="shared" si="1"/>
        <v>242041.43831455894</v>
      </c>
      <c r="G33" s="43">
        <f t="shared" si="0"/>
        <v>0.058369483657065846</v>
      </c>
    </row>
    <row r="34" spans="1:7" ht="37.5">
      <c r="A34" s="19" t="s">
        <v>64</v>
      </c>
      <c r="B34" s="19" t="s">
        <v>118</v>
      </c>
      <c r="C34" s="20" t="s">
        <v>65</v>
      </c>
      <c r="D34" s="21">
        <v>190402</v>
      </c>
      <c r="E34" s="21">
        <v>235485.510083712</v>
      </c>
      <c r="F34" s="36">
        <f t="shared" si="1"/>
        <v>45083.510083712</v>
      </c>
      <c r="G34" s="43">
        <f t="shared" si="0"/>
        <v>0.23678065400422255</v>
      </c>
    </row>
    <row r="35" spans="1:7" ht="15">
      <c r="A35" s="19" t="s">
        <v>66</v>
      </c>
      <c r="B35" s="19" t="s">
        <v>118</v>
      </c>
      <c r="C35" s="20" t="s">
        <v>67</v>
      </c>
      <c r="D35" s="21">
        <v>4849400</v>
      </c>
      <c r="E35" s="21">
        <v>5140415.909003497</v>
      </c>
      <c r="F35" s="36">
        <f t="shared" si="1"/>
        <v>291015.9090034971</v>
      </c>
      <c r="G35" s="43">
        <f t="shared" si="0"/>
        <v>0.06001070421155141</v>
      </c>
    </row>
    <row r="36" spans="1:8" ht="37.5">
      <c r="A36" s="19" t="s">
        <v>68</v>
      </c>
      <c r="B36" s="19" t="s">
        <v>118</v>
      </c>
      <c r="C36" s="20" t="s">
        <v>69</v>
      </c>
      <c r="D36" s="21">
        <v>159232</v>
      </c>
      <c r="E36" s="21">
        <v>1073791.01844</v>
      </c>
      <c r="F36" s="36">
        <f t="shared" si="1"/>
        <v>914559.01844</v>
      </c>
      <c r="G36" s="44">
        <f t="shared" si="0"/>
        <v>5.743562967493971</v>
      </c>
      <c r="H36" s="46" t="s">
        <v>133</v>
      </c>
    </row>
    <row r="37" spans="1:7" ht="37.5">
      <c r="A37" s="19" t="s">
        <v>70</v>
      </c>
      <c r="B37" s="19" t="s">
        <v>118</v>
      </c>
      <c r="C37" s="20" t="s">
        <v>71</v>
      </c>
      <c r="D37" s="21">
        <v>468282</v>
      </c>
      <c r="E37" s="21">
        <v>604282</v>
      </c>
      <c r="F37" s="36">
        <f t="shared" si="1"/>
        <v>136000</v>
      </c>
      <c r="G37" s="43">
        <f t="shared" si="0"/>
        <v>0.2904232919480143</v>
      </c>
    </row>
    <row r="38" spans="1:8" ht="30">
      <c r="A38" s="19" t="s">
        <v>72</v>
      </c>
      <c r="B38" s="19" t="s">
        <v>118</v>
      </c>
      <c r="C38" s="20" t="s">
        <v>73</v>
      </c>
      <c r="D38" s="21">
        <v>949999</v>
      </c>
      <c r="E38" s="21">
        <v>1867351.5554050899</v>
      </c>
      <c r="F38" s="36">
        <f t="shared" si="1"/>
        <v>917352.5554050899</v>
      </c>
      <c r="G38" s="44">
        <f t="shared" si="0"/>
        <v>0.965635285305658</v>
      </c>
      <c r="H38" s="46" t="s">
        <v>135</v>
      </c>
    </row>
    <row r="39" spans="1:7" ht="56.25">
      <c r="A39" s="19" t="s">
        <v>74</v>
      </c>
      <c r="B39" s="19" t="s">
        <v>118</v>
      </c>
      <c r="C39" s="20" t="s">
        <v>75</v>
      </c>
      <c r="D39" s="21">
        <v>954043</v>
      </c>
      <c r="E39" s="21">
        <v>1011296.381166792</v>
      </c>
      <c r="F39" s="36">
        <f t="shared" si="1"/>
        <v>57253.38116679201</v>
      </c>
      <c r="G39" s="43">
        <f t="shared" si="0"/>
        <v>0.06001132146747268</v>
      </c>
    </row>
    <row r="40" spans="1:7" ht="15">
      <c r="A40" s="19" t="s">
        <v>76</v>
      </c>
      <c r="B40" s="19" t="s">
        <v>118</v>
      </c>
      <c r="C40" s="20" t="s">
        <v>77</v>
      </c>
      <c r="D40" s="21">
        <v>1881445</v>
      </c>
      <c r="E40" s="21">
        <v>1994352.0585486116</v>
      </c>
      <c r="F40" s="36">
        <f t="shared" si="1"/>
        <v>112907.05854861159</v>
      </c>
      <c r="G40" s="43">
        <f t="shared" si="0"/>
        <v>0.06001082069824615</v>
      </c>
    </row>
    <row r="41" spans="1:8" ht="30">
      <c r="A41" s="19" t="s">
        <v>78</v>
      </c>
      <c r="B41" s="19" t="s">
        <v>118</v>
      </c>
      <c r="C41" s="22" t="s">
        <v>79</v>
      </c>
      <c r="D41" s="21">
        <v>200000</v>
      </c>
      <c r="E41" s="21">
        <v>748896.2719948029</v>
      </c>
      <c r="F41" s="36">
        <f t="shared" si="1"/>
        <v>548896.2719948029</v>
      </c>
      <c r="G41" s="44">
        <f t="shared" si="0"/>
        <v>2.7444813599740145</v>
      </c>
      <c r="H41" s="46" t="s">
        <v>131</v>
      </c>
    </row>
    <row r="42" spans="1:7" ht="37.5">
      <c r="A42" s="19" t="s">
        <v>80</v>
      </c>
      <c r="B42" s="19" t="s">
        <v>118</v>
      </c>
      <c r="C42" s="20" t="s">
        <v>81</v>
      </c>
      <c r="D42" s="21">
        <f>1972818+381434</f>
        <v>2354252</v>
      </c>
      <c r="E42" s="21">
        <v>2249450.895339899</v>
      </c>
      <c r="F42" s="36">
        <f t="shared" si="1"/>
        <v>-104801.10466010077</v>
      </c>
      <c r="G42" s="43">
        <f t="shared" si="0"/>
        <v>-0.04451566980089672</v>
      </c>
    </row>
    <row r="43" spans="1:8" ht="37.5">
      <c r="A43" s="19" t="s">
        <v>82</v>
      </c>
      <c r="B43" s="19" t="s">
        <v>118</v>
      </c>
      <c r="C43" s="22" t="s">
        <v>83</v>
      </c>
      <c r="D43" s="21">
        <v>390740</v>
      </c>
      <c r="E43" s="21">
        <v>1298751.2833831199</v>
      </c>
      <c r="F43" s="36">
        <f t="shared" si="1"/>
        <v>908011.2833831199</v>
      </c>
      <c r="G43" s="44">
        <f t="shared" si="0"/>
        <v>2.3238247514539587</v>
      </c>
      <c r="H43" s="46" t="s">
        <v>132</v>
      </c>
    </row>
    <row r="44" spans="1:8" ht="15">
      <c r="A44" s="19" t="s">
        <v>84</v>
      </c>
      <c r="B44" s="19" t="s">
        <v>118</v>
      </c>
      <c r="C44" s="22" t="s">
        <v>85</v>
      </c>
      <c r="D44" s="21">
        <v>1000000</v>
      </c>
      <c r="E44" s="21">
        <v>2352203.4540483197</v>
      </c>
      <c r="F44" s="36">
        <f t="shared" si="1"/>
        <v>1352203.4540483197</v>
      </c>
      <c r="G44" s="44">
        <f t="shared" si="0"/>
        <v>1.3522034540483197</v>
      </c>
      <c r="H44" s="46" t="s">
        <v>133</v>
      </c>
    </row>
    <row r="45" spans="1:8" ht="45">
      <c r="A45" s="19" t="s">
        <v>86</v>
      </c>
      <c r="B45" s="19" t="s">
        <v>118</v>
      </c>
      <c r="C45" s="22" t="s">
        <v>87</v>
      </c>
      <c r="D45" s="21">
        <v>599455</v>
      </c>
      <c r="E45" s="21">
        <v>954009.630333018</v>
      </c>
      <c r="F45" s="36">
        <f t="shared" si="1"/>
        <v>354554.630333018</v>
      </c>
      <c r="G45" s="47">
        <f t="shared" si="0"/>
        <v>0.5914616282006455</v>
      </c>
      <c r="H45" s="46" t="s">
        <v>136</v>
      </c>
    </row>
    <row r="46" spans="1:8" ht="15">
      <c r="A46" s="19" t="s">
        <v>88</v>
      </c>
      <c r="B46" s="19" t="s">
        <v>118</v>
      </c>
      <c r="C46" s="22" t="s">
        <v>89</v>
      </c>
      <c r="D46" s="21">
        <v>194023</v>
      </c>
      <c r="E46" s="21">
        <v>309022.61230386</v>
      </c>
      <c r="F46" s="36">
        <f t="shared" si="1"/>
        <v>114999.61230386002</v>
      </c>
      <c r="G46" s="44">
        <f t="shared" si="0"/>
        <v>0.5927112368320251</v>
      </c>
      <c r="H46" s="45" t="s">
        <v>127</v>
      </c>
    </row>
    <row r="47" spans="1:7" ht="15">
      <c r="A47" s="19" t="s">
        <v>90</v>
      </c>
      <c r="B47" s="19" t="s">
        <v>118</v>
      </c>
      <c r="C47" s="22" t="s">
        <v>91</v>
      </c>
      <c r="D47" s="21">
        <v>1000000</v>
      </c>
      <c r="E47" s="21">
        <v>1046579.94</v>
      </c>
      <c r="F47" s="36">
        <f t="shared" si="1"/>
        <v>46579.939999999944</v>
      </c>
      <c r="G47" s="43">
        <f t="shared" si="0"/>
        <v>0.046579939999999986</v>
      </c>
    </row>
    <row r="48" spans="1:7" ht="37.5">
      <c r="A48" s="23" t="s">
        <v>92</v>
      </c>
      <c r="B48" s="23" t="s">
        <v>119</v>
      </c>
      <c r="C48" s="24" t="s">
        <v>93</v>
      </c>
      <c r="D48" s="25">
        <v>0</v>
      </c>
      <c r="E48" s="25">
        <v>435377.25503999996</v>
      </c>
      <c r="F48" s="36">
        <f t="shared" si="1"/>
        <v>435377.25503999996</v>
      </c>
      <c r="G48" s="43"/>
    </row>
    <row r="49" spans="1:7" ht="15">
      <c r="A49" s="23" t="s">
        <v>94</v>
      </c>
      <c r="B49" s="23" t="s">
        <v>119</v>
      </c>
      <c r="C49" s="24" t="s">
        <v>95</v>
      </c>
      <c r="D49" s="25">
        <v>0</v>
      </c>
      <c r="E49" s="25">
        <v>435377.25503999996</v>
      </c>
      <c r="F49" s="36">
        <f t="shared" si="1"/>
        <v>435377.25503999996</v>
      </c>
      <c r="G49" s="43"/>
    </row>
    <row r="50" spans="1:8" ht="15">
      <c r="A50" s="23" t="s">
        <v>96</v>
      </c>
      <c r="B50" s="23" t="s">
        <v>119</v>
      </c>
      <c r="C50" s="26" t="s">
        <v>97</v>
      </c>
      <c r="D50" s="25">
        <v>7490314</v>
      </c>
      <c r="E50" s="25">
        <v>12016760.710407998</v>
      </c>
      <c r="F50" s="36">
        <f t="shared" si="1"/>
        <v>4526446.710407998</v>
      </c>
      <c r="G50" s="44">
        <f t="shared" si="0"/>
        <v>0.604306669975117</v>
      </c>
      <c r="H50" s="46" t="s">
        <v>133</v>
      </c>
    </row>
    <row r="51" spans="1:8" ht="15">
      <c r="A51" s="23" t="s">
        <v>98</v>
      </c>
      <c r="B51" s="23" t="s">
        <v>119</v>
      </c>
      <c r="C51" s="26" t="s">
        <v>99</v>
      </c>
      <c r="D51" s="25">
        <v>1017603</v>
      </c>
      <c r="E51" s="25">
        <v>1595921.37786648</v>
      </c>
      <c r="F51" s="36">
        <f t="shared" si="1"/>
        <v>578318.37786648</v>
      </c>
      <c r="G51" s="44">
        <f t="shared" si="0"/>
        <v>0.5683143405301281</v>
      </c>
      <c r="H51" s="46" t="s">
        <v>133</v>
      </c>
    </row>
    <row r="52" spans="1:7" ht="15">
      <c r="A52" s="23" t="s">
        <v>100</v>
      </c>
      <c r="B52" s="23" t="s">
        <v>119</v>
      </c>
      <c r="C52" s="26" t="s">
        <v>101</v>
      </c>
      <c r="D52" s="25"/>
      <c r="E52" s="25">
        <v>0</v>
      </c>
      <c r="F52" s="36">
        <f t="shared" si="1"/>
        <v>0</v>
      </c>
      <c r="G52" s="43"/>
    </row>
    <row r="53" spans="1:7" ht="15">
      <c r="A53" s="27" t="s">
        <v>102</v>
      </c>
      <c r="B53" s="27" t="s">
        <v>120</v>
      </c>
      <c r="C53" s="28" t="s">
        <v>103</v>
      </c>
      <c r="D53" s="29">
        <v>8256350</v>
      </c>
      <c r="E53" s="29">
        <v>7945991.855602176</v>
      </c>
      <c r="F53" s="36">
        <f t="shared" si="1"/>
        <v>-310358.1443978241</v>
      </c>
      <c r="G53" s="43">
        <f t="shared" si="0"/>
        <v>-0.03759023592723465</v>
      </c>
    </row>
    <row r="54" spans="1:7" ht="15">
      <c r="A54" s="27" t="s">
        <v>104</v>
      </c>
      <c r="B54" s="27" t="s">
        <v>120</v>
      </c>
      <c r="C54" s="28" t="s">
        <v>105</v>
      </c>
      <c r="D54" s="29">
        <v>3089818</v>
      </c>
      <c r="E54" s="29">
        <v>4070965.243089408</v>
      </c>
      <c r="F54" s="36">
        <f t="shared" si="1"/>
        <v>981147.2430894081</v>
      </c>
      <c r="G54" s="43">
        <f t="shared" si="0"/>
        <v>0.31754208276649565</v>
      </c>
    </row>
    <row r="55" spans="1:7" ht="15">
      <c r="A55" s="27" t="s">
        <v>106</v>
      </c>
      <c r="B55" s="27" t="s">
        <v>120</v>
      </c>
      <c r="C55" s="28" t="s">
        <v>107</v>
      </c>
      <c r="D55" s="29">
        <v>2227880</v>
      </c>
      <c r="E55" s="29">
        <v>2361802.1747284797</v>
      </c>
      <c r="F55" s="36">
        <f t="shared" si="1"/>
        <v>133922.1747284797</v>
      </c>
      <c r="G55" s="43">
        <f t="shared" si="0"/>
        <v>0.06011193364475642</v>
      </c>
    </row>
    <row r="56" spans="1:7" ht="37.5">
      <c r="A56" s="27" t="s">
        <v>108</v>
      </c>
      <c r="B56" s="27" t="s">
        <v>120</v>
      </c>
      <c r="C56" s="28" t="s">
        <v>109</v>
      </c>
      <c r="D56" s="29">
        <v>7740017</v>
      </c>
      <c r="E56" s="29">
        <v>8850370.990952762</v>
      </c>
      <c r="F56" s="36">
        <f t="shared" si="1"/>
        <v>1110353.9909527618</v>
      </c>
      <c r="G56" s="43">
        <f t="shared" si="0"/>
        <v>0.143456272893556</v>
      </c>
    </row>
    <row r="57" spans="1:7" ht="37.5">
      <c r="A57" s="27" t="s">
        <v>110</v>
      </c>
      <c r="B57" s="27" t="s">
        <v>120</v>
      </c>
      <c r="C57" s="28" t="s">
        <v>111</v>
      </c>
      <c r="D57" s="29">
        <v>188722</v>
      </c>
      <c r="E57" s="29">
        <v>200047.26673537202</v>
      </c>
      <c r="F57" s="36">
        <f t="shared" si="1"/>
        <v>11325.266735372017</v>
      </c>
      <c r="G57" s="43">
        <f t="shared" si="0"/>
        <v>0.06001031536001111</v>
      </c>
    </row>
    <row r="58" spans="1:8" ht="37.5">
      <c r="A58" s="27" t="s">
        <v>112</v>
      </c>
      <c r="B58" s="27" t="s">
        <v>120</v>
      </c>
      <c r="C58" s="28" t="s">
        <v>113</v>
      </c>
      <c r="D58" s="29">
        <v>202000</v>
      </c>
      <c r="E58" s="29">
        <v>942644.0684765158</v>
      </c>
      <c r="F58" s="36">
        <f t="shared" si="1"/>
        <v>740644.0684765158</v>
      </c>
      <c r="G58" s="44">
        <f t="shared" si="0"/>
        <v>3.6665547944381975</v>
      </c>
      <c r="H58" s="45" t="s">
        <v>130</v>
      </c>
    </row>
    <row r="59" spans="1:8" ht="15">
      <c r="A59" s="30" t="s">
        <v>114</v>
      </c>
      <c r="B59" s="30" t="s">
        <v>125</v>
      </c>
      <c r="C59" s="31"/>
      <c r="D59" s="32">
        <v>12300174</v>
      </c>
      <c r="E59" s="32">
        <v>0</v>
      </c>
      <c r="F59" s="36"/>
      <c r="G59" s="43"/>
      <c r="H59" s="46" t="s">
        <v>137</v>
      </c>
    </row>
    <row r="73" ht="15">
      <c r="E73" s="33"/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1"/>
  <sheetViews>
    <sheetView workbookViewId="0" topLeftCell="A42">
      <selection activeCell="E45" sqref="E45"/>
    </sheetView>
  </sheetViews>
  <sheetFormatPr defaultColWidth="9.140625" defaultRowHeight="15"/>
  <cols>
    <col min="1" max="1" width="29.7109375" style="0" customWidth="1"/>
    <col min="2" max="4" width="34.57421875" style="0" customWidth="1"/>
    <col min="5" max="6" width="17.421875" style="0" customWidth="1"/>
    <col min="7" max="7" width="19.28125" style="0" customWidth="1"/>
  </cols>
  <sheetData>
    <row r="3" spans="1:7" ht="30">
      <c r="A3" s="37" t="s">
        <v>121</v>
      </c>
      <c r="B3" t="s">
        <v>148</v>
      </c>
      <c r="C3" t="s">
        <v>149</v>
      </c>
      <c r="D3" t="s">
        <v>123</v>
      </c>
      <c r="E3" s="86" t="s">
        <v>152</v>
      </c>
      <c r="F3" s="86" t="s">
        <v>153</v>
      </c>
      <c r="G3" s="86" t="s">
        <v>154</v>
      </c>
    </row>
    <row r="4" spans="1:7" ht="15">
      <c r="A4" s="38" t="s">
        <v>142</v>
      </c>
      <c r="B4" s="85">
        <v>26209187</v>
      </c>
      <c r="C4" s="85">
        <v>35346354.53735</v>
      </c>
      <c r="D4" s="85">
        <v>46797344.97157997</v>
      </c>
      <c r="E4" s="43">
        <f>+GETPIVOTDATA("Sum of 2017-2018 Adopted Budget",$A$3,"MIDD Strategy Area","Crisis Diversion")/GETPIVOTDATA("Sum of 2015-2016 Budget",$A$3,"MIDD Strategy Area","Crisis Diversion")-1</f>
        <v>0.3486246077510913</v>
      </c>
      <c r="F4" s="43">
        <f>+GETPIVOTDATA("Sum of 2019-2020 Total by Initiative",$A$3,"MIDD Strategy Area","Crisis Diversion")/GETPIVOTDATA("Sum of 2017-2018 Adopted Budget",$A$3,"MIDD Strategy Area","Crisis Diversion")-1</f>
        <v>0.32396524575483077</v>
      </c>
      <c r="G4" s="43">
        <f>+GETPIVOTDATA("Sum of 2019-2020 Total by Initiative",$A$3,"MIDD Strategy Area","Crisis Diversion")/GETPIVOTDATA("Sum of 2015-2016 Budget",$A$3,"MIDD Strategy Area","Crisis Diversion")-1</f>
        <v>0.7855321102321857</v>
      </c>
    </row>
    <row r="5" spans="1:7" ht="15">
      <c r="A5" s="38" t="s">
        <v>143</v>
      </c>
      <c r="B5" s="85">
        <v>32785024</v>
      </c>
      <c r="C5" s="85">
        <v>36967542.88095</v>
      </c>
      <c r="D5" s="85">
        <v>38836646.040913254</v>
      </c>
      <c r="E5" s="43">
        <f>+GETPIVOTDATA("Sum of 2017-2018 Adopted Budget",$A$3,"MIDD Strategy Area","Prevention &amp; Early Intervention")/GETPIVOTDATA("Sum of 2015-2016 Budget",$A$3,"MIDD Strategy Area","Prevention &amp; Early Intervention")-1</f>
        <v>0.12757406799366677</v>
      </c>
      <c r="F5" s="43">
        <f>+GETPIVOTDATA("Sum of 2019-2020 Total by Initiative",$A$3,"MIDD Strategy Area","Prevention &amp; Early Intervention")/GETPIVOTDATA("Sum of 2017-2018 Adopted Budget",$A$3,"MIDD Strategy Area","Prevention &amp; Early Intervention")-1</f>
        <v>0.05056065440926116</v>
      </c>
      <c r="G5" s="43">
        <f>+GETPIVOTDATA("Sum of 2019-2020 Total by Initiative",$A$3,"MIDD Strategy Area","Prevention &amp; Early Intervention")/GETPIVOTDATA("Sum of 2015-2016 Budget",$A$3,"MIDD Strategy Area","Prevention &amp; Early Intervention")-1</f>
        <v>0.1845849507663393</v>
      </c>
    </row>
    <row r="6" spans="1:7" ht="15">
      <c r="A6" s="38" t="s">
        <v>144</v>
      </c>
      <c r="B6" s="85">
        <v>10870606</v>
      </c>
      <c r="C6" s="85">
        <v>20684112.124350004</v>
      </c>
      <c r="D6" s="85">
        <v>25274641.504316963</v>
      </c>
      <c r="E6" s="43">
        <f>+GETPIVOTDATA("Sum of 2017-2018 Adopted Budget",$A$3,"MIDD Strategy Area","Recovery &amp; Reentry")/GETPIVOTDATA("Sum of 2015-2016 Budget",$A$3,"MIDD Strategy Area","Recovery &amp; Reentry")-1</f>
        <v>0.9027561227359362</v>
      </c>
      <c r="F6" s="43">
        <f>+GETPIVOTDATA("Sum of 2019-2020 Total by Initiative",$A$3,"MIDD Strategy Area","Recovery &amp; Reentry")/GETPIVOTDATA("Sum of 2017-2018 Adopted Budget",$A$3,"MIDD Strategy Area","Recovery &amp; Reentry")-1</f>
        <v>0.22193504620209636</v>
      </c>
      <c r="G6" s="43">
        <f>+GETPIVOTDATA("Sum of 2019-2020 Total by Initiative",$A$3,"MIDD Strategy Area","Recovery &amp; Reentry")/GETPIVOTDATA("Sum of 2015-2016 Budget",$A$3,"MIDD Strategy Area","Recovery &amp; Reentry")-1</f>
        <v>1.3250443907466578</v>
      </c>
    </row>
    <row r="7" spans="1:7" ht="15">
      <c r="A7" s="38" t="s">
        <v>145</v>
      </c>
      <c r="B7" s="85">
        <v>9933035</v>
      </c>
      <c r="C7" s="85">
        <v>11230371.25</v>
      </c>
      <c r="D7" s="85">
        <v>14483436.59835448</v>
      </c>
      <c r="E7" s="43">
        <f>+GETPIVOTDATA("Sum of 2017-2018 Adopted Budget",$A$3,"MIDD Strategy Area","System Improvements")/GETPIVOTDATA("Sum of 2015-2016 Budget",$A$3,"MIDD Strategy Area","System Improvements")-1</f>
        <v>0.1306082430999187</v>
      </c>
      <c r="F7" s="43">
        <f>+GETPIVOTDATA("Sum of 2019-2020 Total by Initiative",$A$3,"MIDD Strategy Area","System Improvements")/GETPIVOTDATA("Sum of 2017-2018 Adopted Budget",$A$3,"MIDD Strategy Area","System Improvements")-1</f>
        <v>0.2896667684387084</v>
      </c>
      <c r="G7" s="43">
        <f>+GETPIVOTDATA("Sum of 2019-2020 Total by Initiative",$A$3,"MIDD Strategy Area","System Improvements")/GETPIVOTDATA("Sum of 2015-2016 Budget",$A$3,"MIDD Strategy Area","System Improvements")-1</f>
        <v>0.4581078792488378</v>
      </c>
    </row>
    <row r="8" spans="1:7" ht="15">
      <c r="A8" s="38" t="s">
        <v>146</v>
      </c>
      <c r="B8" s="85">
        <v>19425438</v>
      </c>
      <c r="C8" s="85">
        <v>21721079.9</v>
      </c>
      <c r="D8" s="85">
        <v>24371821.599584714</v>
      </c>
      <c r="E8" s="43">
        <f>+GETPIVOTDATA("Sum of 2017-2018 Adopted Budget",$A$3,"MIDD Strategy Area","Therapeutic Court")/GETPIVOTDATA("Sum of 2015-2016 Budget",$A$3,"MIDD Strategy Area","Therapeutic Court")-1</f>
        <v>0.11817709850351887</v>
      </c>
      <c r="F8" s="43">
        <f>+GETPIVOTDATA("Sum of 2019-2020 Total by Initiative",$A$3,"MIDD Strategy Area","Therapeutic Court")/GETPIVOTDATA("Sum of 2017-2018 Adopted Budget",$A$3,"MIDD Strategy Area","Therapeutic Court")-1</f>
        <v>0.12203544721479131</v>
      </c>
      <c r="G8" s="43">
        <f>+GETPIVOTDATA("Sum of 2019-2020 Total by Initiative",$A$3,"MIDD Strategy Area","Therapeutic Court")/GETPIVOTDATA("Sum of 2015-2016 Budget",$A$3,"MIDD Strategy Area","Therapeutic Court")-1</f>
        <v>0.25463434078473357</v>
      </c>
    </row>
    <row r="9" spans="1:7" ht="15">
      <c r="A9" s="38" t="s">
        <v>147</v>
      </c>
      <c r="B9" s="85">
        <v>0</v>
      </c>
      <c r="C9" s="85">
        <v>50000</v>
      </c>
      <c r="D9" s="85">
        <v>0</v>
      </c>
      <c r="E9" s="87" t="s">
        <v>151</v>
      </c>
      <c r="F9" s="43">
        <f>+GETPIVOTDATA("Sum of 2019-2020 Total by Initiative",$A$3,"MIDD Strategy Area","Uncategorized")/GETPIVOTDATA("Sum of 2017-2018 Adopted Budget",$A$3,"MIDD Strategy Area","Uncategorized")-1</f>
        <v>-1</v>
      </c>
      <c r="G9" s="87" t="s">
        <v>151</v>
      </c>
    </row>
    <row r="10" spans="1:7" ht="15">
      <c r="A10" s="38" t="s">
        <v>150</v>
      </c>
      <c r="B10" s="85">
        <v>6839770</v>
      </c>
      <c r="C10" s="85">
        <v>7908300</v>
      </c>
      <c r="D10" s="85">
        <v>8822674.154673439</v>
      </c>
      <c r="E10" s="43">
        <f>+GETPIVOTDATA("Sum of 2017-2018 Adopted Budget",$A$3,"MIDD Strategy Area","Administration")/GETPIVOTDATA("Sum of 2015-2016 Budget",$A$3,"MIDD Strategy Area","Administration")-1</f>
        <v>0.1562230893728882</v>
      </c>
      <c r="F10" s="43">
        <f>+GETPIVOTDATA("Sum of 2019-2020 Total by Initiative",$A$3,"MIDD Strategy Area","Administration")/GETPIVOTDATA("Sum of 2017-2018 Adopted Budget",$A$3,"MIDD Strategy Area","Administration")-1</f>
        <v>0.11562208751228953</v>
      </c>
      <c r="G10" s="43">
        <f>+GETPIVOTDATA("Sum of 2019-2020 Total by Initiative",$A$3,"MIDD Strategy Area","Administration")/GETPIVOTDATA("Sum of 2015-2016 Budget",$A$3,"MIDD Strategy Area","Administration")-1</f>
        <v>0.2899080165960901</v>
      </c>
    </row>
    <row r="11" spans="1:7" ht="15">
      <c r="A11" s="38" t="s">
        <v>122</v>
      </c>
      <c r="B11" s="85">
        <v>106063060</v>
      </c>
      <c r="C11" s="85">
        <v>133907760.69265002</v>
      </c>
      <c r="D11" s="85">
        <v>158586564.8694228</v>
      </c>
      <c r="E11" s="88">
        <f>+GETPIVOTDATA("Sum of 2017-2018 Adopted Budget",$A$3)/GETPIVOTDATA("Sum of 2015-2016 Budget",$A$3)-1</f>
        <v>0.2625296752012436</v>
      </c>
      <c r="F11" s="88">
        <f>+GETPIVOTDATA("Sum of 2019-2020 Total by Initiative",$A$3)/GETPIVOTDATA("Sum of 2017-2018 Adopted Budget",$A$3)-1</f>
        <v>0.18429704185268592</v>
      </c>
      <c r="G11" s="88">
        <f>+GETPIVOTDATA("Sum of 2019-2020 Total by Initiative",$A$3)/GETPIVOTDATA("Sum of 2015-2016 Budget",$A$3)-1</f>
        <v>0.49521015959206527</v>
      </c>
    </row>
    <row r="14" spans="1:7" ht="30">
      <c r="A14" s="89" t="s">
        <v>121</v>
      </c>
      <c r="B14" s="90" t="s">
        <v>155</v>
      </c>
      <c r="C14" s="90" t="s">
        <v>156</v>
      </c>
      <c r="D14" s="91" t="s">
        <v>157</v>
      </c>
      <c r="E14" s="91" t="s">
        <v>152</v>
      </c>
      <c r="F14" s="91" t="s">
        <v>153</v>
      </c>
      <c r="G14" s="91" t="s">
        <v>154</v>
      </c>
    </row>
    <row r="15" spans="1:7" ht="15">
      <c r="A15" s="38" t="s">
        <v>142</v>
      </c>
      <c r="B15" s="85">
        <v>26209187</v>
      </c>
      <c r="C15" s="85">
        <v>35346354.53735</v>
      </c>
      <c r="D15" s="85">
        <v>46797344.97157997</v>
      </c>
      <c r="E15" s="43">
        <v>0.3486246077510913</v>
      </c>
      <c r="F15" s="43">
        <v>0.32396524575483077</v>
      </c>
      <c r="G15" s="43">
        <v>0.7855321102321857</v>
      </c>
    </row>
    <row r="16" spans="1:7" ht="15">
      <c r="A16" s="38" t="s">
        <v>143</v>
      </c>
      <c r="B16" s="85">
        <v>32785024</v>
      </c>
      <c r="C16" s="85">
        <v>36967542.88095</v>
      </c>
      <c r="D16" s="85">
        <v>38836646.040913254</v>
      </c>
      <c r="E16" s="43">
        <v>0.12757406799366677</v>
      </c>
      <c r="F16" s="43">
        <v>0.05056065440926116</v>
      </c>
      <c r="G16" s="43">
        <v>0.1845849507663393</v>
      </c>
    </row>
    <row r="17" spans="1:7" ht="15">
      <c r="A17" s="38" t="s">
        <v>144</v>
      </c>
      <c r="B17" s="85">
        <v>10870606</v>
      </c>
      <c r="C17" s="85">
        <v>20684112.124350004</v>
      </c>
      <c r="D17" s="85">
        <v>25274641.504316963</v>
      </c>
      <c r="E17" s="43">
        <v>0.9027561227359362</v>
      </c>
      <c r="F17" s="43">
        <v>0.22193504620209636</v>
      </c>
      <c r="G17" s="43">
        <v>1.3250443907466578</v>
      </c>
    </row>
    <row r="18" spans="1:7" ht="15">
      <c r="A18" s="38" t="s">
        <v>145</v>
      </c>
      <c r="B18" s="85">
        <v>9933035</v>
      </c>
      <c r="C18" s="85">
        <v>11230371.25</v>
      </c>
      <c r="D18" s="85">
        <v>14483436.59835448</v>
      </c>
      <c r="E18" s="43">
        <v>0.1306082430999187</v>
      </c>
      <c r="F18" s="43">
        <v>0.2896667684387084</v>
      </c>
      <c r="G18" s="43">
        <v>0.4581078792488378</v>
      </c>
    </row>
    <row r="19" spans="1:7" ht="15">
      <c r="A19" s="38" t="s">
        <v>146</v>
      </c>
      <c r="B19" s="85">
        <v>19425438</v>
      </c>
      <c r="C19" s="85">
        <v>21721079.9</v>
      </c>
      <c r="D19" s="85">
        <v>24371821.599584714</v>
      </c>
      <c r="E19" s="43">
        <v>0.11817709850351887</v>
      </c>
      <c r="F19" s="43">
        <v>0.12203544721479131</v>
      </c>
      <c r="G19" s="43">
        <v>0.25463434078473357</v>
      </c>
    </row>
    <row r="20" spans="1:7" ht="15">
      <c r="A20" s="38" t="s">
        <v>150</v>
      </c>
      <c r="B20" s="85">
        <v>6839770</v>
      </c>
      <c r="C20" s="85">
        <v>7908300</v>
      </c>
      <c r="D20" s="85">
        <v>8822674.154673439</v>
      </c>
      <c r="E20" s="43">
        <v>0.1562230893728882</v>
      </c>
      <c r="F20" s="43">
        <v>0.11562208751228953</v>
      </c>
      <c r="G20" s="43">
        <v>0.2899080165960901</v>
      </c>
    </row>
    <row r="21" spans="1:7" ht="15">
      <c r="A21" s="93" t="s">
        <v>122</v>
      </c>
      <c r="B21" s="94">
        <f>SUM(B15:B20)</f>
        <v>106063060</v>
      </c>
      <c r="C21" s="94">
        <f>SUM(C15:C20)</f>
        <v>133857760.69265002</v>
      </c>
      <c r="D21" s="94">
        <f>SUM(D15:D20)</f>
        <v>158586564.8694228</v>
      </c>
      <c r="E21" s="92">
        <v>0.2625296752012436</v>
      </c>
      <c r="F21" s="92">
        <v>0.18429704185268592</v>
      </c>
      <c r="G21" s="92">
        <v>0.49521015959206527</v>
      </c>
    </row>
    <row r="22" spans="1:7" ht="15">
      <c r="A22" s="38" t="s">
        <v>147</v>
      </c>
      <c r="B22" s="85">
        <v>0</v>
      </c>
      <c r="C22" s="85">
        <v>50000</v>
      </c>
      <c r="D22" s="85">
        <v>0</v>
      </c>
      <c r="E22" s="87" t="s">
        <v>151</v>
      </c>
      <c r="F22" s="43">
        <v>-1</v>
      </c>
      <c r="G22" s="87" t="s">
        <v>151</v>
      </c>
    </row>
    <row r="24" spans="1:4" ht="30">
      <c r="A24" s="89" t="s">
        <v>121</v>
      </c>
      <c r="B24" s="90" t="s">
        <v>158</v>
      </c>
      <c r="C24" s="90" t="s">
        <v>159</v>
      </c>
      <c r="D24" s="91" t="s">
        <v>160</v>
      </c>
    </row>
    <row r="25" spans="1:4" ht="15">
      <c r="A25" s="38" t="s">
        <v>142</v>
      </c>
      <c r="B25" s="43">
        <f>B15/B$21</f>
        <v>0.24710947430707733</v>
      </c>
      <c r="C25" s="43">
        <f>C15/C$21</f>
        <v>0.26405906056137113</v>
      </c>
      <c r="D25" s="43">
        <f>D15/D$21</f>
        <v>0.2950902241316093</v>
      </c>
    </row>
    <row r="26" spans="1:4" ht="15">
      <c r="A26" s="38" t="s">
        <v>143</v>
      </c>
      <c r="B26" s="43">
        <f aca="true" t="shared" si="0" ref="B26:D30">B16/B$21</f>
        <v>0.3091087886772265</v>
      </c>
      <c r="C26" s="43">
        <f t="shared" si="0"/>
        <v>0.2761703370029545</v>
      </c>
      <c r="D26" s="43">
        <f t="shared" si="0"/>
        <v>0.244892409851305</v>
      </c>
    </row>
    <row r="27" spans="1:4" ht="15">
      <c r="A27" s="38" t="s">
        <v>144</v>
      </c>
      <c r="B27" s="43">
        <f t="shared" si="0"/>
        <v>0.10249191377280648</v>
      </c>
      <c r="C27" s="43">
        <f t="shared" si="0"/>
        <v>0.15452306999100834</v>
      </c>
      <c r="D27" s="43">
        <f t="shared" si="0"/>
        <v>0.15937441816163703</v>
      </c>
    </row>
    <row r="28" spans="1:4" ht="15">
      <c r="A28" s="38" t="s">
        <v>145</v>
      </c>
      <c r="B28" s="43">
        <f t="shared" si="0"/>
        <v>0.09365216315652217</v>
      </c>
      <c r="C28" s="43">
        <f t="shared" si="0"/>
        <v>0.08389779712351521</v>
      </c>
      <c r="D28" s="43">
        <f t="shared" si="0"/>
        <v>0.09132826989650648</v>
      </c>
    </row>
    <row r="29" spans="1:4" ht="15">
      <c r="A29" s="38" t="s">
        <v>146</v>
      </c>
      <c r="B29" s="43">
        <f t="shared" si="0"/>
        <v>0.1831498921490668</v>
      </c>
      <c r="C29" s="43">
        <f t="shared" si="0"/>
        <v>0.16226985859918602</v>
      </c>
      <c r="D29" s="43">
        <f t="shared" si="0"/>
        <v>0.1536815027152648</v>
      </c>
    </row>
    <row r="30" spans="1:4" ht="15">
      <c r="A30" s="38" t="s">
        <v>150</v>
      </c>
      <c r="B30" s="43">
        <f t="shared" si="0"/>
        <v>0.0644877679373007</v>
      </c>
      <c r="C30" s="43">
        <f t="shared" si="0"/>
        <v>0.05907987672196459</v>
      </c>
      <c r="D30" s="43">
        <f t="shared" si="0"/>
        <v>0.055633175243677564</v>
      </c>
    </row>
    <row r="31" spans="2:4" ht="15">
      <c r="B31" s="95"/>
      <c r="C31" s="95"/>
      <c r="D31" s="95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workbookViewId="0" topLeftCell="B1">
      <selection activeCell="J21" sqref="J21"/>
    </sheetView>
  </sheetViews>
  <sheetFormatPr defaultColWidth="9.140625" defaultRowHeight="15"/>
  <cols>
    <col min="1" max="1" width="15.57421875" style="82" hidden="1" customWidth="1"/>
    <col min="2" max="2" width="15.57421875" style="82" customWidth="1"/>
    <col min="3" max="3" width="43.00390625" style="82" customWidth="1"/>
    <col min="4" max="4" width="17.7109375" style="82" customWidth="1"/>
    <col min="5" max="5" width="17.7109375" style="83" hidden="1" customWidth="1"/>
    <col min="6" max="7" width="17.7109375" style="83" customWidth="1"/>
    <col min="8" max="8" width="9.140625" style="49" customWidth="1"/>
    <col min="9" max="9" width="10.00390625" style="49" bestFit="1" customWidth="1"/>
    <col min="10" max="10" width="9.7109375" style="49" bestFit="1" customWidth="1"/>
    <col min="11" max="16384" width="9.140625" style="49" customWidth="1"/>
  </cols>
  <sheetData>
    <row r="1" spans="1:7" ht="15">
      <c r="A1" s="48"/>
      <c r="B1" s="98" t="s">
        <v>161</v>
      </c>
      <c r="C1" s="98"/>
      <c r="D1" s="98"/>
      <c r="E1" s="98"/>
      <c r="F1" s="98"/>
      <c r="G1" s="98"/>
    </row>
    <row r="2" spans="1:7" ht="30">
      <c r="A2" s="50" t="s">
        <v>0</v>
      </c>
      <c r="B2" s="96" t="s">
        <v>115</v>
      </c>
      <c r="C2" s="96" t="s">
        <v>1</v>
      </c>
      <c r="D2" s="96" t="s">
        <v>163</v>
      </c>
      <c r="E2" s="97" t="s">
        <v>139</v>
      </c>
      <c r="F2" s="97" t="s">
        <v>140</v>
      </c>
      <c r="G2" s="97" t="s">
        <v>162</v>
      </c>
    </row>
    <row r="3" spans="1:9" ht="15">
      <c r="A3" s="51" t="s">
        <v>4</v>
      </c>
      <c r="B3" s="51" t="s">
        <v>150</v>
      </c>
      <c r="C3" s="52" t="s">
        <v>5</v>
      </c>
      <c r="D3" s="53">
        <v>6839770</v>
      </c>
      <c r="E3" s="53">
        <v>8386299.750349999</v>
      </c>
      <c r="F3" s="53">
        <v>7908300</v>
      </c>
      <c r="G3" s="54">
        <v>8822674.154673439</v>
      </c>
      <c r="I3" s="43"/>
    </row>
    <row r="4" spans="1:9" ht="30">
      <c r="A4" s="55" t="s">
        <v>6</v>
      </c>
      <c r="B4" s="55" t="s">
        <v>142</v>
      </c>
      <c r="C4" s="56" t="s">
        <v>7</v>
      </c>
      <c r="D4" s="57">
        <v>0</v>
      </c>
      <c r="E4" s="58">
        <v>3589500</v>
      </c>
      <c r="F4" s="58">
        <f>E4</f>
        <v>3589500</v>
      </c>
      <c r="G4" s="58">
        <v>7428509.07376</v>
      </c>
      <c r="I4" s="43"/>
    </row>
    <row r="5" spans="1:9" ht="30">
      <c r="A5" s="55" t="s">
        <v>8</v>
      </c>
      <c r="B5" s="55" t="s">
        <v>142</v>
      </c>
      <c r="C5" s="56" t="s">
        <v>9</v>
      </c>
      <c r="D5" s="57">
        <v>0</v>
      </c>
      <c r="E5" s="58">
        <v>607800</v>
      </c>
      <c r="F5" s="58">
        <f aca="true" t="shared" si="0" ref="F5:F43">E5</f>
        <v>607800</v>
      </c>
      <c r="G5" s="58">
        <v>1844486.2067763598</v>
      </c>
      <c r="I5" s="43"/>
    </row>
    <row r="6" spans="1:9" ht="15">
      <c r="A6" s="55" t="s">
        <v>10</v>
      </c>
      <c r="B6" s="55" t="s">
        <v>142</v>
      </c>
      <c r="C6" s="59" t="s">
        <v>11</v>
      </c>
      <c r="D6" s="57">
        <v>1007241</v>
      </c>
      <c r="E6" s="58">
        <v>830659.9999999999</v>
      </c>
      <c r="F6" s="58">
        <f t="shared" si="0"/>
        <v>830659.9999999999</v>
      </c>
      <c r="G6" s="58">
        <v>880508.6351207998</v>
      </c>
      <c r="I6" s="43"/>
    </row>
    <row r="7" spans="1:9" ht="30">
      <c r="A7" s="55" t="s">
        <v>12</v>
      </c>
      <c r="B7" s="55" t="s">
        <v>142</v>
      </c>
      <c r="C7" s="56" t="s">
        <v>13</v>
      </c>
      <c r="D7" s="57">
        <v>0</v>
      </c>
      <c r="E7" s="58">
        <v>2039000</v>
      </c>
      <c r="F7" s="58">
        <f t="shared" si="0"/>
        <v>2039000</v>
      </c>
      <c r="G7" s="58">
        <v>1631278.2553199995</v>
      </c>
      <c r="I7" s="43"/>
    </row>
    <row r="8" spans="1:9" ht="15">
      <c r="A8" s="55" t="s">
        <v>14</v>
      </c>
      <c r="B8" s="55" t="s">
        <v>142</v>
      </c>
      <c r="C8" s="59" t="s">
        <v>15</v>
      </c>
      <c r="D8" s="57">
        <v>407174</v>
      </c>
      <c r="E8" s="58">
        <v>519162.5</v>
      </c>
      <c r="F8" s="58">
        <f t="shared" si="0"/>
        <v>519162.5</v>
      </c>
      <c r="G8" s="58">
        <v>550317.8969504999</v>
      </c>
      <c r="I8" s="43"/>
    </row>
    <row r="9" spans="1:9" ht="30">
      <c r="A9" s="55" t="s">
        <v>16</v>
      </c>
      <c r="B9" s="55" t="s">
        <v>142</v>
      </c>
      <c r="C9" s="56" t="s">
        <v>17</v>
      </c>
      <c r="D9" s="57">
        <v>12418796</v>
      </c>
      <c r="E9" s="58">
        <v>10333569</v>
      </c>
      <c r="F9" s="58">
        <f t="shared" si="0"/>
        <v>10333569</v>
      </c>
      <c r="G9" s="58">
        <v>11902367.663011719</v>
      </c>
      <c r="I9" s="43"/>
    </row>
    <row r="10" spans="1:9" ht="15">
      <c r="A10" s="55" t="s">
        <v>18</v>
      </c>
      <c r="B10" s="55" t="s">
        <v>142</v>
      </c>
      <c r="C10" s="56" t="s">
        <v>19</v>
      </c>
      <c r="D10" s="57">
        <f>120000+300000</f>
        <v>420000</v>
      </c>
      <c r="E10" s="58">
        <v>2289000</v>
      </c>
      <c r="F10" s="58">
        <f t="shared" si="0"/>
        <v>2289000</v>
      </c>
      <c r="G10" s="58">
        <v>6621373.055319999</v>
      </c>
      <c r="I10" s="43"/>
    </row>
    <row r="11" spans="1:9" ht="30">
      <c r="A11" s="55" t="s">
        <v>20</v>
      </c>
      <c r="B11" s="55" t="s">
        <v>142</v>
      </c>
      <c r="C11" s="59" t="s">
        <v>21</v>
      </c>
      <c r="D11" s="57">
        <v>456033</v>
      </c>
      <c r="E11" s="58">
        <v>571078.75</v>
      </c>
      <c r="F11" s="58">
        <f t="shared" si="0"/>
        <v>571078.75</v>
      </c>
      <c r="G11" s="58">
        <v>605349.68664555</v>
      </c>
      <c r="I11" s="43"/>
    </row>
    <row r="12" spans="1:9" ht="30">
      <c r="A12" s="55" t="s">
        <v>22</v>
      </c>
      <c r="B12" s="55" t="s">
        <v>142</v>
      </c>
      <c r="C12" s="56" t="s">
        <v>23</v>
      </c>
      <c r="D12" s="57">
        <v>0</v>
      </c>
      <c r="E12" s="58">
        <v>506500</v>
      </c>
      <c r="F12" s="58">
        <f t="shared" si="0"/>
        <v>506500</v>
      </c>
      <c r="G12" s="58">
        <v>0</v>
      </c>
      <c r="I12" s="43"/>
    </row>
    <row r="13" spans="1:9" ht="15">
      <c r="A13" s="55" t="s">
        <v>24</v>
      </c>
      <c r="B13" s="55" t="s">
        <v>142</v>
      </c>
      <c r="C13" s="59" t="s">
        <v>25</v>
      </c>
      <c r="D13" s="57">
        <v>533985</v>
      </c>
      <c r="E13" s="58">
        <v>622995</v>
      </c>
      <c r="F13" s="58">
        <f t="shared" si="0"/>
        <v>622995</v>
      </c>
      <c r="G13" s="58">
        <v>660381.4763405998</v>
      </c>
      <c r="I13" s="43"/>
    </row>
    <row r="14" spans="1:9" ht="30">
      <c r="A14" s="55" t="s">
        <v>26</v>
      </c>
      <c r="B14" s="55" t="s">
        <v>142</v>
      </c>
      <c r="C14" s="59" t="s">
        <v>27</v>
      </c>
      <c r="D14" s="57">
        <v>1017887</v>
      </c>
      <c r="E14" s="58">
        <v>1142157.5</v>
      </c>
      <c r="F14" s="58">
        <f t="shared" si="0"/>
        <v>1142157.5</v>
      </c>
      <c r="G14" s="58">
        <v>1210699.3732911</v>
      </c>
      <c r="I14" s="43"/>
    </row>
    <row r="15" spans="1:9" ht="15">
      <c r="A15" s="55" t="s">
        <v>28</v>
      </c>
      <c r="B15" s="55" t="s">
        <v>142</v>
      </c>
      <c r="C15" s="59" t="s">
        <v>29</v>
      </c>
      <c r="D15" s="57">
        <v>788271</v>
      </c>
      <c r="E15" s="58">
        <v>851426.4999999999</v>
      </c>
      <c r="F15" s="58">
        <f t="shared" si="0"/>
        <v>851426.4999999999</v>
      </c>
      <c r="G15" s="58">
        <v>1158165.2466228597</v>
      </c>
      <c r="I15" s="43"/>
    </row>
    <row r="16" spans="1:9" ht="30">
      <c r="A16" s="55" t="s">
        <v>30</v>
      </c>
      <c r="B16" s="55" t="s">
        <v>142</v>
      </c>
      <c r="C16" s="56" t="s">
        <v>31</v>
      </c>
      <c r="D16" s="57">
        <v>0</v>
      </c>
      <c r="E16" s="58">
        <v>2203654.8373499997</v>
      </c>
      <c r="F16" s="58">
        <f t="shared" si="0"/>
        <v>2203654.8373499997</v>
      </c>
      <c r="G16" s="58">
        <v>2335897.063680502</v>
      </c>
      <c r="I16" s="43"/>
    </row>
    <row r="17" spans="1:9" ht="15">
      <c r="A17" s="55" t="s">
        <v>32</v>
      </c>
      <c r="B17" s="55" t="s">
        <v>142</v>
      </c>
      <c r="C17" s="56" t="s">
        <v>33</v>
      </c>
      <c r="D17" s="57">
        <v>0</v>
      </c>
      <c r="E17" s="58">
        <v>303900</v>
      </c>
      <c r="F17" s="58">
        <f t="shared" si="0"/>
        <v>303900</v>
      </c>
      <c r="G17" s="58">
        <v>322137.30553199997</v>
      </c>
      <c r="I17" s="43"/>
    </row>
    <row r="18" spans="1:9" ht="15">
      <c r="A18" s="55" t="s">
        <v>34</v>
      </c>
      <c r="B18" s="55" t="s">
        <v>142</v>
      </c>
      <c r="C18" s="59" t="s">
        <v>35</v>
      </c>
      <c r="D18" s="57">
        <v>9159800</v>
      </c>
      <c r="E18" s="58">
        <v>6229949.999999999</v>
      </c>
      <c r="F18" s="58">
        <f t="shared" si="0"/>
        <v>6229949.999999999</v>
      </c>
      <c r="G18" s="58">
        <v>6603814.763405999</v>
      </c>
      <c r="I18" s="43"/>
    </row>
    <row r="19" spans="1:9" ht="15">
      <c r="A19" s="55" t="s">
        <v>36</v>
      </c>
      <c r="B19" s="55" t="s">
        <v>142</v>
      </c>
      <c r="C19" s="56" t="s">
        <v>37</v>
      </c>
      <c r="D19" s="57">
        <v>0</v>
      </c>
      <c r="E19" s="58">
        <v>1276000</v>
      </c>
      <c r="F19" s="58">
        <f t="shared" si="0"/>
        <v>1276000</v>
      </c>
      <c r="G19" s="58">
        <v>1046579.94</v>
      </c>
      <c r="I19" s="43"/>
    </row>
    <row r="20" spans="1:9" ht="15">
      <c r="A20" s="55" t="s">
        <v>38</v>
      </c>
      <c r="B20" s="55" t="s">
        <v>142</v>
      </c>
      <c r="C20" s="56" t="s">
        <v>39</v>
      </c>
      <c r="D20" s="57">
        <v>0</v>
      </c>
      <c r="E20" s="58">
        <v>1430000.4500000002</v>
      </c>
      <c r="F20" s="58">
        <f t="shared" si="0"/>
        <v>1430000.4500000002</v>
      </c>
      <c r="G20" s="58">
        <v>1995479.329801986</v>
      </c>
      <c r="I20" s="43"/>
    </row>
    <row r="21" spans="1:9" ht="45">
      <c r="A21" s="60" t="s">
        <v>40</v>
      </c>
      <c r="B21" s="60" t="s">
        <v>143</v>
      </c>
      <c r="C21" s="61" t="s">
        <v>41</v>
      </c>
      <c r="D21" s="62">
        <f>1614345+50000</f>
        <v>1664345</v>
      </c>
      <c r="E21" s="63">
        <v>1453654.9999999998</v>
      </c>
      <c r="F21" s="63">
        <f t="shared" si="0"/>
        <v>1453654.9999999998</v>
      </c>
      <c r="G21" s="63">
        <v>1540890.1114613996</v>
      </c>
      <c r="I21" s="43"/>
    </row>
    <row r="22" spans="1:9" ht="45">
      <c r="A22" s="60" t="s">
        <v>42</v>
      </c>
      <c r="B22" s="60" t="s">
        <v>143</v>
      </c>
      <c r="C22" s="61" t="s">
        <v>43</v>
      </c>
      <c r="D22" s="62">
        <v>868601</v>
      </c>
      <c r="E22" s="63">
        <v>1183690.5</v>
      </c>
      <c r="F22" s="63">
        <f t="shared" si="0"/>
        <v>1183690.5</v>
      </c>
      <c r="G22" s="63">
        <v>1254724.80504714</v>
      </c>
      <c r="I22" s="43"/>
    </row>
    <row r="23" spans="1:9" ht="45">
      <c r="A23" s="60" t="s">
        <v>44</v>
      </c>
      <c r="B23" s="60" t="s">
        <v>143</v>
      </c>
      <c r="C23" s="64" t="s">
        <v>45</v>
      </c>
      <c r="D23" s="62">
        <v>922819</v>
      </c>
      <c r="E23" s="63">
        <v>981879.57635</v>
      </c>
      <c r="F23" s="63">
        <f t="shared" si="0"/>
        <v>981879.57635</v>
      </c>
      <c r="G23" s="63">
        <v>1040803.0308729537</v>
      </c>
      <c r="I23" s="43"/>
    </row>
    <row r="24" spans="1:9" ht="45">
      <c r="A24" s="60" t="s">
        <v>46</v>
      </c>
      <c r="B24" s="60" t="s">
        <v>143</v>
      </c>
      <c r="C24" s="61" t="s">
        <v>47</v>
      </c>
      <c r="D24" s="62">
        <v>641299</v>
      </c>
      <c r="E24" s="63">
        <v>666604.65</v>
      </c>
      <c r="F24" s="63">
        <f t="shared" si="0"/>
        <v>666604.65</v>
      </c>
      <c r="G24" s="63">
        <v>706608.179684442</v>
      </c>
      <c r="I24" s="43"/>
    </row>
    <row r="25" spans="1:9" ht="45">
      <c r="A25" s="60" t="s">
        <v>48</v>
      </c>
      <c r="B25" s="60" t="s">
        <v>143</v>
      </c>
      <c r="C25" s="61" t="s">
        <v>49</v>
      </c>
      <c r="D25" s="62">
        <v>3021931</v>
      </c>
      <c r="E25" s="63">
        <v>3187204.1546</v>
      </c>
      <c r="F25" s="63">
        <f t="shared" si="0"/>
        <v>3187204.1546</v>
      </c>
      <c r="G25" s="63">
        <v>3364863.4657002892</v>
      </c>
      <c r="I25" s="43"/>
    </row>
    <row r="26" spans="1:9" ht="45">
      <c r="A26" s="60" t="s">
        <v>50</v>
      </c>
      <c r="B26" s="60" t="s">
        <v>143</v>
      </c>
      <c r="C26" s="64" t="s">
        <v>51</v>
      </c>
      <c r="D26" s="62">
        <v>0</v>
      </c>
      <c r="E26" s="63">
        <v>1013000</v>
      </c>
      <c r="F26" s="63">
        <v>810400</v>
      </c>
      <c r="G26" s="63">
        <v>0</v>
      </c>
      <c r="I26" s="43"/>
    </row>
    <row r="27" spans="1:9" ht="45">
      <c r="A27" s="60" t="s">
        <v>52</v>
      </c>
      <c r="B27" s="60" t="s">
        <v>143</v>
      </c>
      <c r="C27" s="64" t="s">
        <v>53</v>
      </c>
      <c r="D27" s="62">
        <v>0</v>
      </c>
      <c r="E27" s="63">
        <v>405200</v>
      </c>
      <c r="F27" s="63">
        <v>607800</v>
      </c>
      <c r="G27" s="63">
        <v>644274.6110639999</v>
      </c>
      <c r="I27" s="43"/>
    </row>
    <row r="28" spans="1:9" ht="45">
      <c r="A28" s="60" t="s">
        <v>54</v>
      </c>
      <c r="B28" s="60" t="s">
        <v>143</v>
      </c>
      <c r="C28" s="61" t="s">
        <v>55</v>
      </c>
      <c r="D28" s="62">
        <v>1890496</v>
      </c>
      <c r="E28" s="63">
        <v>1661319.9999999998</v>
      </c>
      <c r="F28" s="63">
        <f t="shared" si="0"/>
        <v>1661319.9999999998</v>
      </c>
      <c r="G28" s="63">
        <v>1761017.2702415995</v>
      </c>
      <c r="I28" s="43"/>
    </row>
    <row r="29" spans="1:9" ht="45">
      <c r="A29" s="60" t="s">
        <v>56</v>
      </c>
      <c r="B29" s="60" t="s">
        <v>143</v>
      </c>
      <c r="C29" s="61" t="s">
        <v>57</v>
      </c>
      <c r="D29" s="62">
        <v>1015440</v>
      </c>
      <c r="E29" s="63">
        <v>1183690.5</v>
      </c>
      <c r="F29" s="63">
        <v>1031991</v>
      </c>
      <c r="G29" s="63">
        <v>1093921.9835859</v>
      </c>
      <c r="I29" s="43"/>
    </row>
    <row r="30" spans="1:9" ht="45">
      <c r="A30" s="60" t="s">
        <v>58</v>
      </c>
      <c r="B30" s="60" t="s">
        <v>143</v>
      </c>
      <c r="C30" s="61" t="s">
        <v>59</v>
      </c>
      <c r="D30" s="62">
        <v>633616</v>
      </c>
      <c r="E30" s="63">
        <v>1142157.5</v>
      </c>
      <c r="F30" s="63">
        <v>1293858</v>
      </c>
      <c r="G30" s="63">
        <v>1371502.19475234</v>
      </c>
      <c r="I30" s="43"/>
    </row>
    <row r="31" spans="1:9" ht="45">
      <c r="A31" s="60" t="s">
        <v>60</v>
      </c>
      <c r="B31" s="60" t="s">
        <v>143</v>
      </c>
      <c r="C31" s="61" t="s">
        <v>61</v>
      </c>
      <c r="D31" s="62">
        <v>22126477</v>
      </c>
      <c r="E31" s="63">
        <v>24089139.999999996</v>
      </c>
      <c r="F31" s="63">
        <f t="shared" si="0"/>
        <v>24089139.999999996</v>
      </c>
      <c r="G31" s="63">
        <v>26058040.388503194</v>
      </c>
      <c r="I31" s="43"/>
    </row>
    <row r="32" spans="1:9" ht="30">
      <c r="A32" s="65" t="s">
        <v>62</v>
      </c>
      <c r="B32" s="65" t="s">
        <v>144</v>
      </c>
      <c r="C32" s="66" t="s">
        <v>63</v>
      </c>
      <c r="D32" s="67">
        <v>4101416</v>
      </c>
      <c r="E32" s="68">
        <v>4146712</v>
      </c>
      <c r="F32" s="68">
        <f t="shared" si="0"/>
        <v>4146712</v>
      </c>
      <c r="G32" s="68">
        <v>4388753.438314559</v>
      </c>
      <c r="I32" s="43"/>
    </row>
    <row r="33" spans="1:9" ht="30">
      <c r="A33" s="65" t="s">
        <v>64</v>
      </c>
      <c r="B33" s="65" t="s">
        <v>144</v>
      </c>
      <c r="C33" s="66" t="s">
        <v>65</v>
      </c>
      <c r="D33" s="67">
        <v>152688</v>
      </c>
      <c r="E33" s="68">
        <v>157825.40000000002</v>
      </c>
      <c r="F33" s="68">
        <f t="shared" si="0"/>
        <v>157825.40000000002</v>
      </c>
      <c r="G33" s="68">
        <v>235485.510083712</v>
      </c>
      <c r="I33" s="43"/>
    </row>
    <row r="34" spans="1:9" ht="30">
      <c r="A34" s="65" t="s">
        <v>66</v>
      </c>
      <c r="B34" s="65" t="s">
        <v>144</v>
      </c>
      <c r="C34" s="66" t="s">
        <v>67</v>
      </c>
      <c r="D34" s="67">
        <v>1650000</v>
      </c>
      <c r="E34" s="68">
        <v>4849400.184</v>
      </c>
      <c r="F34" s="68">
        <f t="shared" si="0"/>
        <v>4849400.184</v>
      </c>
      <c r="G34" s="68">
        <v>5140415.909003497</v>
      </c>
      <c r="I34" s="43"/>
    </row>
    <row r="35" spans="1:9" ht="30">
      <c r="A35" s="65" t="s">
        <v>68</v>
      </c>
      <c r="B35" s="65" t="s">
        <v>144</v>
      </c>
      <c r="C35" s="66" t="s">
        <v>69</v>
      </c>
      <c r="D35" s="67">
        <v>0</v>
      </c>
      <c r="E35" s="68">
        <v>1013000</v>
      </c>
      <c r="F35" s="68">
        <f t="shared" si="0"/>
        <v>1013000</v>
      </c>
      <c r="G35" s="68">
        <v>1073791.01844</v>
      </c>
      <c r="I35" s="43"/>
    </row>
    <row r="36" spans="1:9" ht="30">
      <c r="A36" s="65" t="s">
        <v>70</v>
      </c>
      <c r="B36" s="65" t="s">
        <v>144</v>
      </c>
      <c r="C36" s="66" t="s">
        <v>71</v>
      </c>
      <c r="D36" s="67">
        <f>212819+15000</f>
        <v>227819</v>
      </c>
      <c r="E36" s="68">
        <v>468282.49834999995</v>
      </c>
      <c r="F36" s="68">
        <f t="shared" si="0"/>
        <v>468282.49834999995</v>
      </c>
      <c r="G36" s="68">
        <v>604282</v>
      </c>
      <c r="I36" s="43"/>
    </row>
    <row r="37" spans="1:9" ht="30">
      <c r="A37" s="65" t="s">
        <v>72</v>
      </c>
      <c r="B37" s="65" t="s">
        <v>144</v>
      </c>
      <c r="C37" s="66" t="s">
        <v>73</v>
      </c>
      <c r="D37" s="67">
        <v>812734</v>
      </c>
      <c r="E37" s="68">
        <v>882576.2499999999</v>
      </c>
      <c r="F37" s="68">
        <f t="shared" si="0"/>
        <v>882576.2499999999</v>
      </c>
      <c r="G37" s="68">
        <v>1867351.5554050899</v>
      </c>
      <c r="I37" s="43"/>
    </row>
    <row r="38" spans="1:9" ht="30">
      <c r="A38" s="65" t="s">
        <v>74</v>
      </c>
      <c r="B38" s="65" t="s">
        <v>144</v>
      </c>
      <c r="C38" s="66" t="s">
        <v>75</v>
      </c>
      <c r="D38" s="67">
        <v>0</v>
      </c>
      <c r="E38" s="68">
        <v>954043.4</v>
      </c>
      <c r="F38" s="68">
        <f t="shared" si="0"/>
        <v>954043.4</v>
      </c>
      <c r="G38" s="68">
        <v>1011296.381166792</v>
      </c>
      <c r="I38" s="43"/>
    </row>
    <row r="39" spans="1:9" ht="30">
      <c r="A39" s="65" t="s">
        <v>76</v>
      </c>
      <c r="B39" s="65" t="s">
        <v>144</v>
      </c>
      <c r="C39" s="66" t="s">
        <v>77</v>
      </c>
      <c r="D39" s="67">
        <v>1035241</v>
      </c>
      <c r="E39" s="68">
        <v>1881444.9</v>
      </c>
      <c r="F39" s="68">
        <f t="shared" si="0"/>
        <v>1881444.9</v>
      </c>
      <c r="G39" s="68">
        <v>1994352.0585486116</v>
      </c>
      <c r="I39" s="43"/>
    </row>
    <row r="40" spans="1:9" ht="30">
      <c r="A40" s="65" t="s">
        <v>78</v>
      </c>
      <c r="B40" s="65" t="s">
        <v>144</v>
      </c>
      <c r="C40" s="69" t="s">
        <v>79</v>
      </c>
      <c r="D40" s="67">
        <v>0</v>
      </c>
      <c r="E40" s="68">
        <v>706499.642</v>
      </c>
      <c r="F40" s="68">
        <f t="shared" si="0"/>
        <v>706499.642</v>
      </c>
      <c r="G40" s="68">
        <v>748896.2719948029</v>
      </c>
      <c r="I40" s="43"/>
    </row>
    <row r="41" spans="1:9" ht="30">
      <c r="A41" s="65" t="s">
        <v>80</v>
      </c>
      <c r="B41" s="65" t="s">
        <v>144</v>
      </c>
      <c r="C41" s="66" t="s">
        <v>81</v>
      </c>
      <c r="D41" s="67">
        <f>2050708+250000</f>
        <v>2300708</v>
      </c>
      <c r="E41" s="68">
        <v>1972817.4999999998</v>
      </c>
      <c r="F41" s="68">
        <f t="shared" si="0"/>
        <v>1972817.4999999998</v>
      </c>
      <c r="G41" s="68">
        <v>2249450.895339899</v>
      </c>
      <c r="I41" s="43"/>
    </row>
    <row r="42" spans="1:9" ht="30">
      <c r="A42" s="65" t="s">
        <v>138</v>
      </c>
      <c r="B42" s="65" t="s">
        <v>144</v>
      </c>
      <c r="C42" s="69" t="s">
        <v>83</v>
      </c>
      <c r="D42" s="67">
        <v>590000</v>
      </c>
      <c r="E42" s="68">
        <v>1557487.4999999998</v>
      </c>
      <c r="F42" s="68">
        <f t="shared" si="0"/>
        <v>1557487.4999999998</v>
      </c>
      <c r="G42" s="68">
        <f>1298751.28338312+2352203</f>
        <v>3650954.28338312</v>
      </c>
      <c r="I42" s="43"/>
    </row>
    <row r="43" spans="1:9" ht="30">
      <c r="A43" s="65" t="s">
        <v>86</v>
      </c>
      <c r="B43" s="65" t="s">
        <v>144</v>
      </c>
      <c r="C43" s="69" t="s">
        <v>87</v>
      </c>
      <c r="D43" s="67">
        <v>0</v>
      </c>
      <c r="E43" s="68">
        <v>899999.8500000001</v>
      </c>
      <c r="F43" s="68">
        <f t="shared" si="0"/>
        <v>899999.8500000001</v>
      </c>
      <c r="G43" s="68">
        <v>954009.630333018</v>
      </c>
      <c r="I43" s="43"/>
    </row>
    <row r="44" spans="1:9" ht="30">
      <c r="A44" s="65" t="s">
        <v>88</v>
      </c>
      <c r="B44" s="65" t="s">
        <v>144</v>
      </c>
      <c r="C44" s="69" t="s">
        <v>89</v>
      </c>
      <c r="D44" s="67">
        <v>0</v>
      </c>
      <c r="E44" s="68">
        <v>192602</v>
      </c>
      <c r="F44" s="68">
        <v>194023</v>
      </c>
      <c r="G44" s="68">
        <v>309022.61230386</v>
      </c>
      <c r="I44" s="43"/>
    </row>
    <row r="45" spans="1:9" ht="30">
      <c r="A45" s="65" t="s">
        <v>90</v>
      </c>
      <c r="B45" s="65" t="s">
        <v>144</v>
      </c>
      <c r="C45" s="69" t="s">
        <v>91</v>
      </c>
      <c r="D45" s="67">
        <v>0</v>
      </c>
      <c r="E45" s="68"/>
      <c r="F45" s="68">
        <v>1000000</v>
      </c>
      <c r="G45" s="68">
        <v>1046579.94</v>
      </c>
      <c r="I45" s="43"/>
    </row>
    <row r="46" spans="1:9" ht="30">
      <c r="A46" s="70" t="s">
        <v>92</v>
      </c>
      <c r="B46" s="70" t="s">
        <v>145</v>
      </c>
      <c r="C46" s="71" t="s">
        <v>93</v>
      </c>
      <c r="D46" s="72">
        <v>0</v>
      </c>
      <c r="E46" s="73">
        <v>709100</v>
      </c>
      <c r="F46" s="73">
        <f>E46</f>
        <v>709100</v>
      </c>
      <c r="G46" s="73">
        <v>435377.25503999996</v>
      </c>
      <c r="I46" s="43"/>
    </row>
    <row r="47" spans="1:9" ht="30">
      <c r="A47" s="70" t="s">
        <v>94</v>
      </c>
      <c r="B47" s="70" t="s">
        <v>145</v>
      </c>
      <c r="C47" s="71" t="s">
        <v>95</v>
      </c>
      <c r="D47" s="72">
        <v>0</v>
      </c>
      <c r="E47" s="73">
        <v>709100</v>
      </c>
      <c r="F47" s="73">
        <f>E47</f>
        <v>709100</v>
      </c>
      <c r="G47" s="73">
        <v>435377.25503999996</v>
      </c>
      <c r="I47" s="43"/>
    </row>
    <row r="48" spans="1:9" ht="30">
      <c r="A48" s="70" t="s">
        <v>96</v>
      </c>
      <c r="B48" s="70" t="s">
        <v>145</v>
      </c>
      <c r="C48" s="74" t="s">
        <v>97</v>
      </c>
      <c r="D48" s="72">
        <v>8202832</v>
      </c>
      <c r="E48" s="73">
        <v>8306600</v>
      </c>
      <c r="F48" s="73">
        <f>E48</f>
        <v>8306600</v>
      </c>
      <c r="G48" s="73">
        <v>12016760.710407998</v>
      </c>
      <c r="I48" s="43"/>
    </row>
    <row r="49" spans="1:9" ht="30">
      <c r="A49" s="70" t="s">
        <v>98</v>
      </c>
      <c r="B49" s="70" t="s">
        <v>145</v>
      </c>
      <c r="C49" s="74" t="s">
        <v>99</v>
      </c>
      <c r="D49" s="72">
        <v>1730203</v>
      </c>
      <c r="E49" s="73">
        <v>1505571.2499999998</v>
      </c>
      <c r="F49" s="73">
        <f>E49</f>
        <v>1505571.2499999998</v>
      </c>
      <c r="G49" s="73">
        <v>1595921.37786648</v>
      </c>
      <c r="I49" s="43"/>
    </row>
    <row r="50" spans="1:9" ht="30">
      <c r="A50" s="70" t="s">
        <v>100</v>
      </c>
      <c r="B50" s="70" t="s">
        <v>145</v>
      </c>
      <c r="C50" s="74" t="s">
        <v>101</v>
      </c>
      <c r="D50" s="72">
        <v>0</v>
      </c>
      <c r="E50" s="73">
        <v>1316900</v>
      </c>
      <c r="F50" s="73">
        <v>0</v>
      </c>
      <c r="G50" s="73">
        <v>0</v>
      </c>
      <c r="I50" s="43"/>
    </row>
    <row r="51" spans="1:9" ht="30">
      <c r="A51" s="75" t="s">
        <v>102</v>
      </c>
      <c r="B51" s="75" t="s">
        <v>146</v>
      </c>
      <c r="C51" s="76" t="s">
        <v>103</v>
      </c>
      <c r="D51" s="77">
        <v>7267294</v>
      </c>
      <c r="E51" s="78">
        <v>8439000.126</v>
      </c>
      <c r="F51" s="78">
        <v>8456350</v>
      </c>
      <c r="G51" s="78">
        <v>7945991.855602176</v>
      </c>
      <c r="I51" s="43"/>
    </row>
    <row r="52" spans="1:9" ht="30">
      <c r="A52" s="75" t="s">
        <v>104</v>
      </c>
      <c r="B52" s="75" t="s">
        <v>146</v>
      </c>
      <c r="C52" s="76" t="s">
        <v>105</v>
      </c>
      <c r="D52" s="77">
        <v>2412116</v>
      </c>
      <c r="E52" s="78">
        <v>2907999.84</v>
      </c>
      <c r="F52" s="78">
        <v>2908111</v>
      </c>
      <c r="G52" s="78">
        <v>4070965.243089408</v>
      </c>
      <c r="I52" s="43"/>
    </row>
    <row r="53" spans="1:9" ht="30">
      <c r="A53" s="75" t="s">
        <v>106</v>
      </c>
      <c r="B53" s="75" t="s">
        <v>146</v>
      </c>
      <c r="C53" s="76" t="s">
        <v>107</v>
      </c>
      <c r="D53" s="77">
        <v>1878267</v>
      </c>
      <c r="E53" s="78">
        <v>2227000.486</v>
      </c>
      <c r="F53" s="78">
        <v>2227880</v>
      </c>
      <c r="G53" s="78">
        <v>2361802.1747284797</v>
      </c>
      <c r="I53" s="43"/>
    </row>
    <row r="54" spans="1:9" ht="30">
      <c r="A54" s="75" t="s">
        <v>108</v>
      </c>
      <c r="B54" s="75" t="s">
        <v>146</v>
      </c>
      <c r="C54" s="76" t="s">
        <v>109</v>
      </c>
      <c r="D54" s="77">
        <v>7691761</v>
      </c>
      <c r="E54" s="78">
        <v>7832000.396</v>
      </c>
      <c r="F54" s="78">
        <v>7840017</v>
      </c>
      <c r="G54" s="78">
        <v>8850370.990952762</v>
      </c>
      <c r="I54" s="43"/>
    </row>
    <row r="55" spans="1:9" ht="30">
      <c r="A55" s="75" t="s">
        <v>110</v>
      </c>
      <c r="B55" s="75" t="s">
        <v>146</v>
      </c>
      <c r="C55" s="76" t="s">
        <v>111</v>
      </c>
      <c r="D55" s="77">
        <v>176000</v>
      </c>
      <c r="E55" s="78">
        <v>188721.90000000002</v>
      </c>
      <c r="F55" s="78">
        <f>E55</f>
        <v>188721.90000000002</v>
      </c>
      <c r="G55" s="78">
        <v>200047.26673537202</v>
      </c>
      <c r="I55" s="43"/>
    </row>
    <row r="56" spans="1:9" ht="30">
      <c r="A56" s="75" t="s">
        <v>112</v>
      </c>
      <c r="B56" s="75" t="s">
        <v>146</v>
      </c>
      <c r="C56" s="76" t="s">
        <v>113</v>
      </c>
      <c r="D56" s="77">
        <v>0</v>
      </c>
      <c r="E56" s="78">
        <v>100000</v>
      </c>
      <c r="F56" s="78">
        <f>E56</f>
        <v>100000</v>
      </c>
      <c r="G56" s="78">
        <v>942644.0684765158</v>
      </c>
      <c r="I56" s="43"/>
    </row>
    <row r="57" spans="1:9" ht="15">
      <c r="A57" s="79" t="s">
        <v>114</v>
      </c>
      <c r="B57" s="79" t="s">
        <v>147</v>
      </c>
      <c r="C57" s="80" t="s">
        <v>141</v>
      </c>
      <c r="D57" s="81">
        <v>0</v>
      </c>
      <c r="E57" s="81">
        <v>0</v>
      </c>
      <c r="F57" s="81">
        <v>50000</v>
      </c>
      <c r="G57" s="81">
        <v>0</v>
      </c>
      <c r="I57" s="43"/>
    </row>
    <row r="70" ht="15">
      <c r="G70" s="84"/>
    </row>
  </sheetData>
  <mergeCells count="1">
    <mergeCell ref="B1:G1"/>
  </mergeCells>
  <printOptions/>
  <pageMargins left="0.7" right="0.7" top="0.75" bottom="0.75" header="0.3" footer="0.3"/>
  <pageSetup fitToHeight="2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Soohoo, Wendy</dc:creator>
  <cp:keywords/>
  <dc:description/>
  <cp:lastModifiedBy>Kim, Andrew</cp:lastModifiedBy>
  <cp:lastPrinted>2018-10-23T19:00:23Z</cp:lastPrinted>
  <dcterms:created xsi:type="dcterms:W3CDTF">2018-10-15T14:10:19Z</dcterms:created>
  <dcterms:modified xsi:type="dcterms:W3CDTF">2018-10-23T19:01:09Z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