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Operating Financial Plan" sheetId="1" r:id="rId1"/>
  </sheets>
  <externalReferences>
    <externalReference r:id="rId4"/>
  </externalReferences>
  <definedNames>
    <definedName name="___w1" hidden="1">{"cxtransfer",#N/A,FALSE,"ReorgRevisted"}</definedName>
    <definedName name="___w2" hidden="1">{"cxtransfer",#N/A,FALSE,"ReorgRevisted"}</definedName>
    <definedName name="__123Graph_B" hidden="1">#REF!</definedName>
    <definedName name="__123Graph_BPERCENT" hidden="1">#REF!</definedName>
    <definedName name="__123Graph_BTOTALS" hidden="1">#REF!</definedName>
    <definedName name="__123Graph_CTOTALS" hidden="1">#REF!</definedName>
    <definedName name="__123Graph_X" hidden="1">#REF!</definedName>
    <definedName name="__123Graph_XPERCENT" hidden="1">#REF!</definedName>
    <definedName name="__123Graph_XTOTALS" hidden="1">#REF!</definedName>
    <definedName name="__w1" hidden="1">{"cxtransfer",#N/A,FALSE,"ReorgRevisted"}</definedName>
    <definedName name="__w2" hidden="1">{"cxtransfer",#N/A,FALSE,"ReorgRevisted"}</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sfda" hidden="1">{"NonWhole",#N/A,FALSE,"ReorgRevisted"}</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riminal" hidden="1">{"NonWhole",#N/A,FALSE,"ReorgRevisted"}</definedName>
    <definedName name="cxs" hidden="1">{"Whole",#N/A,FALSE,"ReorgRevisted"}</definedName>
    <definedName name="d" hidden="1">{"NonWhole",#N/A,FALSE,"ReorgRevisted"}</definedName>
    <definedName name="ddd.ext" hidden="1">{"NonWhole",#N/A,FALSE,"ReorgRevisted"}</definedName>
    <definedName name="donya" hidden="1">{"Whole",#N/A,FALSE,"ReorgRevisted"}</definedName>
    <definedName name="efg" hidden="1">{"cxtransfer",#N/A,FALSE,"ReorgRevisted"}</definedName>
    <definedName name="FinPlan" hidden="1">{"Whole",#N/A,FALSE,"ReorgRevisted"}</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r" hidden="1">{"NonWhole",#N/A,FALSE,"ReorgRevisted"}</definedName>
    <definedName name="FS" hidden="1">{"Dis",#N/A,FALSE,"ReorgRevisted"}</definedName>
    <definedName name="gg" hidden="1">{"Dis",#N/A,FALSE,"ReorgRevisted"}</definedName>
    <definedName name="iii" hidden="1">{"Dis",#N/A,FALSE,"ReorgRevisted"}</definedName>
    <definedName name="inn" hidden="1">{"NonWhole",#N/A,FALSE,"ReorgRevisted"}</definedName>
    <definedName name="k" hidden="1">{"NonWhole",#N/A,FALSE,"ReorgRevisted"}</definedName>
    <definedName name="kk" hidden="1">{"cxtransfer",#N/A,FALSE,"ReorgRevisted"}</definedName>
    <definedName name="mental" hidden="1">{"NonWhole",#N/A,FALSE,"ReorgRevisted"}</definedName>
    <definedName name="ob" hidden="1">{"cxtransfer",#N/A,FALSE,"ReorgRevisted"}</definedName>
    <definedName name="p" hidden="1">{"Dis",#N/A,FALSE,"ReorgRevisted"}</definedName>
    <definedName name="_xlnm.Print_Area" localSheetId="0">'Operating Financial Plan'!$B$1:$P$48</definedName>
    <definedName name="qqq" hidden="1">{"Dis",#N/A,FALSE,"ReorgRevisted"}</definedName>
    <definedName name="qqqqq" hidden="1">{"Dis",#N/A,FALSE,"ReorgRevisted"}</definedName>
    <definedName name="re" hidden="1">{"Dis",#N/A,FALSE,"ReorgRevisted"}</definedName>
    <definedName name="rename" hidden="1">{"NonWhole",#N/A,FALSE,"ReorgRevisted"}</definedName>
    <definedName name="rod" hidden="1">{"NonWhole",#N/A,FALSE,"ReorgRevisted"}</definedName>
    <definedName name="sad" hidden="1">{"NonWhole",#N/A,FALSE,"ReorgRevisted"}</definedName>
    <definedName name="sdd" hidden="1">{"NonWhole",#N/A,FALSE,"ReorgRevisted"}</definedName>
    <definedName name="sick.sick" hidden="1">{"Whole",#N/A,FALSE,"ReorgRevisted"}</definedName>
    <definedName name="sod" hidden="1">{"NonWhole",#N/A,FALSE,"ReorgRevisted"}</definedName>
    <definedName name="steps" hidden="1">{"cxtransfer",#N/A,FALSE,"ReorgRevisted"}</definedName>
    <definedName name="v" hidden="1">{"cxtransfer",#N/A,FALSE,"ReorgRevisted"}</definedName>
    <definedName name="w" hidden="1">{"Dis",#N/A,FALSE,"ReorgRevisted"}</definedName>
    <definedName name="wa" hidden="1">{"Dis",#N/A,FALSE,"ReorgRevisted"}</definedName>
    <definedName name="waa" hidden="1">{"Dis",#N/A,FALSE,"ReorgRevisted"}</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s" hidden="1">{"Dis",#N/A,FALSE,"ReorgRevisted"}</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<sst xmlns="http://schemas.openxmlformats.org/spreadsheetml/2006/main" count="58" uniqueCount="58">
  <si>
    <t>2019-2024 Levy Financial Plan</t>
  </si>
  <si>
    <t>Automated Fingerprint Identification System /000001220</t>
  </si>
  <si>
    <t>HIDDEN COLUMNS - for PSB Variance Analysis</t>
  </si>
  <si>
    <t>Category</t>
  </si>
  <si>
    <r>
      <t>2015-2016 Actuals</t>
    </r>
    <r>
      <rPr>
        <b/>
        <vertAlign val="superscript"/>
        <sz val="12"/>
        <rFont val="Calibri"/>
        <family val="2"/>
        <scheme val="minor"/>
      </rPr>
      <t>1</t>
    </r>
  </si>
  <si>
    <r>
      <t>2017-2018 Adopted Budget</t>
    </r>
    <r>
      <rPr>
        <b/>
        <vertAlign val="superscript"/>
        <sz val="12"/>
        <rFont val="Calibri"/>
        <family val="2"/>
        <scheme val="minor"/>
      </rPr>
      <t>2</t>
    </r>
  </si>
  <si>
    <r>
      <t>2017-2018 Current Budget</t>
    </r>
    <r>
      <rPr>
        <b/>
        <vertAlign val="superscript"/>
        <sz val="12"/>
        <rFont val="Calibri"/>
        <family val="2"/>
        <scheme val="minor"/>
      </rPr>
      <t>3</t>
    </r>
  </si>
  <si>
    <r>
      <t>2017-2018 Biennial-to-Date Actuals</t>
    </r>
    <r>
      <rPr>
        <b/>
        <vertAlign val="superscript"/>
        <sz val="12"/>
        <rFont val="Calibri"/>
        <family val="2"/>
        <scheme val="minor"/>
      </rPr>
      <t>4</t>
    </r>
  </si>
  <si>
    <r>
      <t>2017-2018 Estimated</t>
    </r>
    <r>
      <rPr>
        <b/>
        <vertAlign val="superscript"/>
        <sz val="12"/>
        <rFont val="Calibri"/>
        <family val="2"/>
        <scheme val="minor"/>
      </rPr>
      <t>5</t>
    </r>
  </si>
  <si>
    <r>
      <t>2019-2020 Projected</t>
    </r>
    <r>
      <rPr>
        <b/>
        <vertAlign val="superscript"/>
        <sz val="12"/>
        <rFont val="Calibri"/>
        <family val="2"/>
        <scheme val="minor"/>
      </rPr>
      <t>6</t>
    </r>
  </si>
  <si>
    <r>
      <t>2021-2022 Projected</t>
    </r>
    <r>
      <rPr>
        <b/>
        <vertAlign val="superscript"/>
        <sz val="12"/>
        <rFont val="Calibri"/>
        <family val="2"/>
        <scheme val="minor"/>
      </rPr>
      <t>6</t>
    </r>
  </si>
  <si>
    <r>
      <t>2023-2024 Projected</t>
    </r>
    <r>
      <rPr>
        <b/>
        <vertAlign val="superscript"/>
        <sz val="12"/>
        <rFont val="Calibri"/>
        <family val="2"/>
        <scheme val="minor"/>
      </rPr>
      <t>6</t>
    </r>
  </si>
  <si>
    <t>Diff: Actuals to Current Budget</t>
  </si>
  <si>
    <t>BTD Actuals as Percent of Current Budget</t>
  </si>
  <si>
    <t>Diff: Estimated to Current Budget</t>
  </si>
  <si>
    <t>Estimated as Percent of Current Budget</t>
  </si>
  <si>
    <t xml:space="preserve">Beginning Fund Balance </t>
  </si>
  <si>
    <t>Revenues</t>
  </si>
  <si>
    <t xml:space="preserve"> Levy Revenue</t>
  </si>
  <si>
    <t xml:space="preserve"> Misc. Revenue - Interest, Etc.</t>
  </si>
  <si>
    <t>Total Revenues</t>
  </si>
  <si>
    <t xml:space="preserve">Expenditures </t>
  </si>
  <si>
    <r>
      <t xml:space="preserve"> </t>
    </r>
    <r>
      <rPr>
        <sz val="12"/>
        <rFont val="Calibri"/>
        <family val="2"/>
        <scheme val="minor"/>
      </rPr>
      <t>Wages, Benefits and Retirement</t>
    </r>
  </si>
  <si>
    <t xml:space="preserve"> Supplies and Services</t>
  </si>
  <si>
    <t xml:space="preserve"> City of Seattle</t>
  </si>
  <si>
    <t xml:space="preserve"> Intragovernmental Services</t>
  </si>
  <si>
    <t xml:space="preserve"> Capital</t>
  </si>
  <si>
    <t xml:space="preserve"> Transfer for latent lab replacement</t>
  </si>
  <si>
    <t xml:space="preserve"> Reimbursement of Election Costs</t>
  </si>
  <si>
    <t>Total Expenditures</t>
  </si>
  <si>
    <r>
      <t>Estimated Underexpenditures</t>
    </r>
    <r>
      <rPr>
        <b/>
        <vertAlign val="superscript"/>
        <sz val="12"/>
        <rFont val="Calibri"/>
        <family val="2"/>
        <scheme val="minor"/>
      </rPr>
      <t xml:space="preserve"> </t>
    </r>
  </si>
  <si>
    <t>Other Fund Transactions</t>
  </si>
  <si>
    <r>
      <t>GAAP Adjustment</t>
    </r>
    <r>
      <rPr>
        <vertAlign val="superscript"/>
        <sz val="12"/>
        <rFont val="Calibri"/>
        <family val="2"/>
        <scheme val="minor"/>
      </rPr>
      <t>7</t>
    </r>
  </si>
  <si>
    <t>Total Other Fund Transactions</t>
  </si>
  <si>
    <t>Ending Fund Balance</t>
  </si>
  <si>
    <t>Reserves</t>
  </si>
  <si>
    <r>
      <t xml:space="preserve">Capital Contingency Reserve </t>
    </r>
    <r>
      <rPr>
        <vertAlign val="superscript"/>
        <sz val="12"/>
        <rFont val="Calibri"/>
        <family val="2"/>
        <scheme val="minor"/>
      </rPr>
      <t>8</t>
    </r>
  </si>
  <si>
    <r>
      <t>Latent Print Lab Replacement</t>
    </r>
    <r>
      <rPr>
        <vertAlign val="superscript"/>
        <sz val="12"/>
        <rFont val="Calibri"/>
        <family val="2"/>
        <scheme val="minor"/>
      </rPr>
      <t xml:space="preserve"> 9</t>
    </r>
  </si>
  <si>
    <r>
      <t xml:space="preserve">Remote Print Capture Device Reserve </t>
    </r>
    <r>
      <rPr>
        <vertAlign val="superscript"/>
        <sz val="12"/>
        <rFont val="Calibri"/>
        <family val="2"/>
        <scheme val="minor"/>
      </rPr>
      <t>10</t>
    </r>
  </si>
  <si>
    <r>
      <t>Rainy Day Reserves</t>
    </r>
    <r>
      <rPr>
        <vertAlign val="superscript"/>
        <sz val="12"/>
        <rFont val="Calibri"/>
        <family val="2"/>
        <scheme val="minor"/>
      </rPr>
      <t xml:space="preserve"> 11</t>
    </r>
  </si>
  <si>
    <r>
      <t>AFIS Replacement Reserve</t>
    </r>
    <r>
      <rPr>
        <vertAlign val="superscript"/>
        <sz val="12"/>
        <rFont val="Calibri"/>
        <family val="2"/>
        <scheme val="minor"/>
      </rPr>
      <t>12</t>
    </r>
  </si>
  <si>
    <t>Total Reserves</t>
  </si>
  <si>
    <t xml:space="preserve">Reserve Shortfall </t>
  </si>
  <si>
    <t>Ending Undesignated Fund Balance</t>
  </si>
  <si>
    <t>Financial Plan Notes</t>
  </si>
  <si>
    <r>
      <t xml:space="preserve">1  </t>
    </r>
    <r>
      <rPr>
        <sz val="11"/>
        <rFont val="Calibri"/>
        <family val="2"/>
        <scheme val="minor"/>
      </rPr>
      <t>2015-2016 Actuals reflect year end information from EBS and are consistent with the Budgetary Fund Balance figures published by FBOD.</t>
    </r>
  </si>
  <si>
    <r>
      <rPr>
        <vertAlign val="superscript"/>
        <sz val="11"/>
        <rFont val="Calibri"/>
        <family val="2"/>
        <scheme val="minor"/>
      </rPr>
      <t xml:space="preserve">2  </t>
    </r>
    <r>
      <rPr>
        <sz val="11"/>
        <rFont val="Calibri"/>
        <family val="2"/>
        <scheme val="minor"/>
      </rPr>
      <t>2017-2018 Adopted Budget is based on ordinance 18409.</t>
    </r>
  </si>
  <si>
    <r>
      <t xml:space="preserve">3  </t>
    </r>
    <r>
      <rPr>
        <sz val="11"/>
        <color theme="1"/>
        <rFont val="Calibri"/>
        <family val="2"/>
        <scheme val="minor"/>
      </rPr>
      <t xml:space="preserve">Because AFIS has not had any supplemental appropriations this biennium, 2017-2018 Current Budget equals the Adopted Budget for expenditures. 2017-2018 Revenues revised to incorporate OEFA August 2017 estimate. </t>
    </r>
  </si>
  <si>
    <r>
      <t xml:space="preserve">4  </t>
    </r>
    <r>
      <rPr>
        <sz val="11"/>
        <color theme="1"/>
        <rFont val="Calibri"/>
        <family val="2"/>
        <scheme val="minor"/>
      </rPr>
      <t>2017-2018 Biennial-to-Date Actuals reflects actual revenues and expenditures as of 09/29/2017, using EBS report(s) GL_010.</t>
    </r>
  </si>
  <si>
    <r>
      <rPr>
        <vertAlign val="superscript"/>
        <sz val="11"/>
        <rFont val="Calibri"/>
        <family val="2"/>
        <scheme val="minor"/>
      </rPr>
      <t xml:space="preserve">5  </t>
    </r>
    <r>
      <rPr>
        <sz val="11"/>
        <rFont val="Calibri"/>
        <family val="2"/>
        <scheme val="minor"/>
      </rPr>
      <t xml:space="preserve">2017-2018 Estimated reflects updated revenue and expenditure estimates as of 09/29/2017. Estimate does not include potential future supplemental requests such as project funds for the relocation of administrative staff to the Black River building or an upgrade of the AFIS data system. </t>
    </r>
  </si>
  <si>
    <r>
      <rPr>
        <vertAlign val="superscript"/>
        <sz val="11"/>
        <rFont val="Calibri"/>
        <family val="2"/>
        <scheme val="minor"/>
      </rPr>
      <t>6</t>
    </r>
    <r>
      <rPr>
        <sz val="11"/>
        <rFont val="Calibri"/>
        <family val="2"/>
        <scheme val="minor"/>
      </rPr>
      <t xml:space="preserve"> The current six-year AFIS Levy expires at the end of 2018. This financial plan assumes the levy is renewed for 2019-2024 at a lower initial rate of $0.035/$1000 and increasing by 1% per year. The levy plan asumes a reduction in labor expenditures by reducing 8 positions in King County AFIS and 3 in Seattle AFIS. Out years inflated according to current PSB guidelines. </t>
    </r>
  </si>
  <si>
    <r>
      <t xml:space="preserve">7 </t>
    </r>
    <r>
      <rPr>
        <sz val="11"/>
        <rFont val="Calibri"/>
        <family val="2"/>
        <scheme val="minor"/>
      </rPr>
      <t>Adjustment to make 2014 YE Fund Balance + 2015-2016 Revenues &amp; Expenditures from EBS match 2016 YE Fund Balance.</t>
    </r>
  </si>
  <si>
    <r>
      <rPr>
        <vertAlign val="superscript"/>
        <sz val="11"/>
        <rFont val="Calibri"/>
        <family val="2"/>
        <scheme val="minor"/>
      </rPr>
      <t xml:space="preserve">8 </t>
    </r>
    <r>
      <rPr>
        <sz val="11"/>
        <rFont val="Calibri"/>
        <family val="2"/>
        <scheme val="minor"/>
      </rPr>
      <t xml:space="preserve">The Capital Contingency Reserve is for supporting regularly scheduled capital projects, such as maintenance and repairs on the Next Generation AFIS computer system. In the 2013-2018 Levy, the reserve was calculated at 20 percent of the entire biennial capital budget, which does not include the latent print lab or remote print capture projects that are listed below. </t>
    </r>
  </si>
  <si>
    <r>
      <rPr>
        <vertAlign val="superscript"/>
        <sz val="11"/>
        <rFont val="Calibri"/>
        <family val="2"/>
        <scheme val="minor"/>
      </rPr>
      <t xml:space="preserve">9 </t>
    </r>
    <r>
      <rPr>
        <sz val="11"/>
        <rFont val="Calibri"/>
        <family val="2"/>
        <scheme val="minor"/>
      </rPr>
      <t>AFIS built up enough latent lab replacement reserve by 2016 to build an $11.5 million lab. The reserved amount was reduced in 2017-18  by the  $8,918,530  transfer to FMD for the project. The remaining amount reserved in will likely be used to fund the move of AFIS administrative staff to the Black River building, which was not originally included in the lab replacement project.</t>
    </r>
  </si>
  <si>
    <r>
      <rPr>
        <vertAlign val="superscript"/>
        <sz val="11"/>
        <rFont val="Calibri"/>
        <family val="2"/>
        <scheme val="minor"/>
      </rPr>
      <t>10</t>
    </r>
    <r>
      <rPr>
        <sz val="11"/>
        <rFont val="Calibri"/>
        <family val="2"/>
        <scheme val="minor"/>
      </rPr>
      <t xml:space="preserve"> The Remote Print Capture Device Reserve originally budgeted $1.5 million for an expansion of the remote print capture device system. The reserve decreased to $1.0 million in the 2015/16 biennium to reflect expenditures for the Mobile ID project. No additional purchases are planned during 2017/2018 at this time; if this changes, funding for any additional Remote ID purchases will be requested via supplemental appropriation.
</t>
    </r>
  </si>
  <si>
    <r>
      <rPr>
        <vertAlign val="superscript"/>
        <sz val="11"/>
        <rFont val="Calibri"/>
        <family val="2"/>
        <scheme val="minor"/>
      </rPr>
      <t>11</t>
    </r>
    <r>
      <rPr>
        <sz val="11"/>
        <rFont val="Calibri"/>
        <family val="2"/>
        <scheme val="minor"/>
      </rPr>
      <t xml:space="preserve"> The Rainy Day Reserve is set at 60 days for this levy. This level of rainy day reserves was approved by the AFIS Advisory Committee. Amount calculated as 1/12 of biennial expenditures excluding the Latent Print Lab Replacement.</t>
    </r>
  </si>
  <si>
    <r>
      <rPr>
        <vertAlign val="superscript"/>
        <sz val="11"/>
        <color theme="1"/>
        <rFont val="Calibri"/>
        <family val="2"/>
        <scheme val="minor"/>
      </rPr>
      <t>12</t>
    </r>
    <r>
      <rPr>
        <sz val="11"/>
        <color theme="1"/>
        <rFont val="Calibri"/>
        <family val="2"/>
        <scheme val="minor"/>
      </rPr>
      <t xml:space="preserve"> The AFIS Core computer system will be replaced during the 2017-2018 biennium using current fund balance.  No major capital investments are planned for the 2019-2024 levy period.</t>
    </r>
  </si>
  <si>
    <t xml:space="preserve">This Financial Plan was updated by Jason King and Andrew Bauck on 09/29/2017. Revised by A. Bauck on 11/3/2017 to include Election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</si>
</sst>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0;[Red]\-#,##0"/>
  </numFmts>
  <fonts count="17">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2"/>
      <name val="Calibri"/>
      <family val="2"/>
      <scheme val="minor"/>
    </font>
    <font>
      <sz val="12"/>
      <name val="Times New Roman"/>
      <family val="1"/>
    </font>
    <font>
      <b/>
      <vertAlign val="superscript"/>
      <sz val="12"/>
      <name val="Calibri"/>
      <family val="2"/>
      <scheme val="minor"/>
    </font>
    <font>
      <sz val="12"/>
      <name val="Calibri"/>
      <family val="2"/>
      <scheme val="minor"/>
    </font>
    <font>
      <sz val="12"/>
      <color theme="1"/>
      <name val="Calibri"/>
      <family val="2"/>
      <scheme val="minor"/>
    </font>
    <font>
      <b/>
      <sz val="8"/>
      <color rgb="FF000000"/>
      <name val="Microsoft Sans Serif"/>
      <family val="2"/>
    </font>
    <font>
      <sz val="11"/>
      <color rgb="FF000000"/>
      <name val="Calibri"/>
      <family val="2"/>
      <scheme val="minor"/>
    </font>
    <font>
      <vertAlign val="superscript"/>
      <sz val="12"/>
      <name val="Calibri"/>
      <family val="2"/>
      <scheme val="minor"/>
    </font>
    <font>
      <b/>
      <u val="single"/>
      <sz val="11"/>
      <color theme="1"/>
      <name val="Calibri"/>
      <family val="2"/>
      <scheme val="minor"/>
    </font>
    <font>
      <sz val="11"/>
      <name val="Calibri"/>
      <family val="2"/>
      <scheme val="minor"/>
    </font>
    <font>
      <vertAlign val="superscript"/>
      <sz val="11"/>
      <name val="Calibri"/>
      <family val="2"/>
      <scheme val="minor"/>
    </font>
    <font>
      <b/>
      <sz val="11"/>
      <name val="Calibri"/>
      <family val="2"/>
      <scheme val="minor"/>
    </font>
    <font>
      <vertAlign val="superscript"/>
      <sz val="11"/>
      <color theme="1"/>
      <name val="Calibri"/>
      <family val="2"/>
      <scheme val="minor"/>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C000"/>
        <bgColor indexed="64"/>
      </patternFill>
    </fill>
  </fills>
  <borders count="17">
    <border>
      <left/>
      <right/>
      <top/>
      <bottom/>
      <diagonal/>
    </border>
    <border>
      <left/>
      <right/>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bottom/>
    </border>
    <border>
      <left style="thin"/>
      <right/>
      <top/>
      <bottom/>
    </border>
    <border>
      <left/>
      <right style="thin"/>
      <top style="thin"/>
      <bottom style="thin"/>
    </border>
    <border>
      <left/>
      <right/>
      <top/>
      <bottom style="medium">
        <color theme="0"/>
      </bottom>
    </border>
    <border>
      <left/>
      <right/>
      <top style="medium">
        <color theme="0"/>
      </top>
      <bottom style="medium">
        <color theme="0"/>
      </bottom>
    </border>
    <border>
      <left/>
      <right/>
      <top style="medium">
        <color theme="0"/>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5" fillId="0" borderId="0">
      <alignment/>
      <protection/>
    </xf>
    <xf numFmtId="43" fontId="1" fillId="0" borderId="0" applyFont="0" applyFill="0" applyBorder="0" applyAlignment="0" applyProtection="0"/>
    <xf numFmtId="37" fontId="5" fillId="0" borderId="0">
      <alignment/>
      <protection/>
    </xf>
    <xf numFmtId="0" fontId="1" fillId="0" borderId="0">
      <alignment/>
      <protection/>
    </xf>
  </cellStyleXfs>
  <cellXfs count="134">
    <xf numFmtId="0" fontId="0" fillId="0" borderId="0" xfId="0"/>
    <xf numFmtId="0" fontId="0" fillId="0" borderId="0" xfId="0" applyProtection="1">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horizontal="center"/>
      <protection locked="0"/>
    </xf>
    <xf numFmtId="0" fontId="0" fillId="2" borderId="0" xfId="0" applyFill="1"/>
    <xf numFmtId="164" fontId="0" fillId="2" borderId="0" xfId="18" applyNumberFormat="1" applyFont="1" applyFill="1" applyProtection="1">
      <protection locked="0"/>
    </xf>
    <xf numFmtId="0" fontId="0" fillId="2" borderId="0" xfId="0" applyFill="1" applyProtection="1">
      <protection locked="0"/>
    </xf>
    <xf numFmtId="0" fontId="4" fillId="2" borderId="0" xfId="0" applyFont="1" applyFill="1" applyAlignment="1">
      <alignment horizontal="center"/>
    </xf>
    <xf numFmtId="0" fontId="4" fillId="2" borderId="0" xfId="0" applyFont="1" applyFill="1" applyAlignment="1">
      <alignment horizontal="center"/>
    </xf>
    <xf numFmtId="0" fontId="2" fillId="0" borderId="1" xfId="0" applyFont="1" applyFill="1" applyBorder="1" applyAlignment="1" applyProtection="1">
      <alignment horizontal="center"/>
      <protection locked="0"/>
    </xf>
    <xf numFmtId="0" fontId="0" fillId="0" borderId="0" xfId="0" applyFill="1" applyProtection="1">
      <protection locked="0"/>
    </xf>
    <xf numFmtId="0" fontId="2" fillId="3" borderId="2"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37" fontId="4" fillId="2" borderId="5" xfId="20" applyFont="1" applyFill="1" applyBorder="1" applyAlignment="1" applyProtection="1">
      <alignment horizontal="left" wrapText="1"/>
      <protection/>
    </xf>
    <xf numFmtId="37" fontId="4" fillId="2" borderId="6" xfId="20" applyFont="1" applyFill="1" applyBorder="1" applyAlignment="1">
      <alignment horizontal="center" wrapText="1"/>
      <protection/>
    </xf>
    <xf numFmtId="37" fontId="4" fillId="2" borderId="5" xfId="20" applyFont="1" applyFill="1" applyBorder="1" applyAlignment="1">
      <alignment horizontal="center" wrapText="1"/>
      <protection/>
    </xf>
    <xf numFmtId="37" fontId="4" fillId="0" borderId="5" xfId="20" applyFont="1" applyFill="1" applyBorder="1" applyAlignment="1">
      <alignment horizontal="center" wrapText="1"/>
      <protection/>
    </xf>
    <xf numFmtId="37" fontId="4" fillId="2" borderId="7" xfId="20" applyFont="1" applyFill="1" applyBorder="1" applyAlignment="1" applyProtection="1">
      <alignment horizontal="center" wrapText="1"/>
      <protection locked="0"/>
    </xf>
    <xf numFmtId="37" fontId="4" fillId="2" borderId="8" xfId="20" applyFont="1" applyFill="1" applyBorder="1" applyAlignment="1" applyProtection="1">
      <alignment horizontal="center" wrapText="1"/>
      <protection locked="0"/>
    </xf>
    <xf numFmtId="37" fontId="4" fillId="2" borderId="9" xfId="20" applyFont="1" applyFill="1" applyBorder="1" applyAlignment="1" applyProtection="1">
      <alignment horizontal="center" wrapText="1"/>
      <protection locked="0"/>
    </xf>
    <xf numFmtId="37" fontId="4" fillId="2" borderId="5" xfId="20" applyFont="1" applyFill="1" applyBorder="1" applyAlignment="1" applyProtection="1">
      <alignment horizontal="left"/>
      <protection locked="0"/>
    </xf>
    <xf numFmtId="164" fontId="4" fillId="2" borderId="5" xfId="21" applyNumberFormat="1" applyFont="1" applyFill="1" applyBorder="1" applyAlignment="1" applyProtection="1">
      <alignment horizontal="right" indent="1"/>
      <protection locked="0"/>
    </xf>
    <xf numFmtId="164" fontId="4" fillId="0" borderId="5" xfId="21" applyNumberFormat="1" applyFont="1" applyFill="1" applyBorder="1" applyAlignment="1" applyProtection="1">
      <alignment horizontal="right" indent="1"/>
      <protection/>
    </xf>
    <xf numFmtId="164" fontId="4" fillId="2" borderId="5" xfId="21" applyNumberFormat="1" applyFont="1" applyFill="1" applyBorder="1" applyAlignment="1" applyProtection="1">
      <alignment horizontal="right" indent="1"/>
      <protection/>
    </xf>
    <xf numFmtId="164" fontId="0" fillId="2" borderId="10" xfId="0" applyNumberFormat="1" applyFill="1" applyBorder="1" applyAlignment="1" applyProtection="1">
      <alignment horizontal="right" indent="1"/>
      <protection locked="0"/>
    </xf>
    <xf numFmtId="9" fontId="0" fillId="2" borderId="4" xfId="15" applyNumberFormat="1" applyFont="1" applyFill="1" applyBorder="1" applyProtection="1">
      <protection locked="0"/>
    </xf>
    <xf numFmtId="164" fontId="0" fillId="2" borderId="2" xfId="0" applyNumberFormat="1" applyFill="1" applyBorder="1" applyAlignment="1" applyProtection="1">
      <alignment horizontal="right" indent="1"/>
      <protection locked="0"/>
    </xf>
    <xf numFmtId="9" fontId="0" fillId="2" borderId="10" xfId="15" applyNumberFormat="1" applyFont="1" applyFill="1" applyBorder="1" applyProtection="1">
      <protection locked="0"/>
    </xf>
    <xf numFmtId="165" fontId="0" fillId="0" borderId="0" xfId="15" applyNumberFormat="1" applyFont="1" applyProtection="1">
      <protection locked="0"/>
    </xf>
    <xf numFmtId="37" fontId="4" fillId="2" borderId="9" xfId="20" applyFont="1" applyFill="1" applyBorder="1" applyAlignment="1" applyProtection="1">
      <alignment horizontal="left" vertical="center"/>
      <protection locked="0"/>
    </xf>
    <xf numFmtId="0" fontId="0" fillId="0" borderId="10" xfId="0" applyBorder="1" applyProtection="1">
      <protection locked="0"/>
    </xf>
    <xf numFmtId="164" fontId="7" fillId="0" borderId="10" xfId="21" applyNumberFormat="1" applyFont="1" applyFill="1" applyBorder="1" applyAlignment="1">
      <alignment horizontal="right" vertical="center" indent="1"/>
    </xf>
    <xf numFmtId="164" fontId="7" fillId="2" borderId="10" xfId="21" applyNumberFormat="1" applyFont="1" applyFill="1" applyBorder="1" applyAlignment="1">
      <alignment horizontal="right" vertical="center" indent="1"/>
    </xf>
    <xf numFmtId="164" fontId="7" fillId="2" borderId="9" xfId="21" applyNumberFormat="1" applyFont="1" applyFill="1" applyBorder="1" applyAlignment="1">
      <alignment horizontal="right" vertical="center" indent="1"/>
    </xf>
    <xf numFmtId="0" fontId="0" fillId="2" borderId="4" xfId="0" applyFill="1" applyBorder="1" applyProtection="1">
      <protection locked="0"/>
    </xf>
    <xf numFmtId="164" fontId="0" fillId="2" borderId="9" xfId="0" applyNumberFormat="1" applyFill="1" applyBorder="1" applyAlignment="1" applyProtection="1">
      <alignment horizontal="right" indent="1"/>
      <protection locked="0"/>
    </xf>
    <xf numFmtId="0" fontId="0" fillId="2" borderId="11" xfId="0" applyFill="1" applyBorder="1" applyProtection="1">
      <protection locked="0"/>
    </xf>
    <xf numFmtId="164" fontId="0" fillId="0" borderId="0" xfId="18" applyNumberFormat="1" applyFont="1" applyProtection="1">
      <protection locked="0"/>
    </xf>
    <xf numFmtId="37" fontId="7" fillId="2" borderId="9" xfId="20" applyFont="1" applyFill="1" applyBorder="1" applyAlignment="1" applyProtection="1">
      <alignment horizontal="left"/>
      <protection locked="0"/>
    </xf>
    <xf numFmtId="164" fontId="7" fillId="2" borderId="12" xfId="20" applyNumberFormat="1" applyFont="1" applyFill="1" applyBorder="1" applyAlignment="1">
      <alignment horizontal="right" vertical="center" indent="1"/>
      <protection/>
    </xf>
    <xf numFmtId="164" fontId="7" fillId="2" borderId="9" xfId="22" applyNumberFormat="1" applyFont="1" applyFill="1" applyBorder="1" applyAlignment="1">
      <alignment horizontal="right"/>
      <protection/>
    </xf>
    <xf numFmtId="164" fontId="8" fillId="0" borderId="0" xfId="18" applyNumberFormat="1" applyFont="1" applyProtection="1">
      <protection locked="0"/>
    </xf>
    <xf numFmtId="164" fontId="7" fillId="0" borderId="9" xfId="22" applyNumberFormat="1" applyFont="1" applyFill="1" applyBorder="1" applyAlignment="1" applyProtection="1">
      <alignment horizontal="right" indent="1"/>
      <protection locked="0"/>
    </xf>
    <xf numFmtId="164" fontId="7" fillId="2" borderId="9" xfId="22" applyNumberFormat="1" applyFont="1" applyFill="1" applyBorder="1" applyAlignment="1" applyProtection="1">
      <alignment horizontal="right" indent="1"/>
      <protection locked="0"/>
    </xf>
    <xf numFmtId="9" fontId="0" fillId="2" borderId="11" xfId="15" applyNumberFormat="1" applyFont="1" applyFill="1" applyBorder="1" applyProtection="1">
      <protection locked="0"/>
    </xf>
    <xf numFmtId="9" fontId="0" fillId="0" borderId="0" xfId="15" applyFont="1" applyFill="1" applyProtection="1">
      <protection locked="0"/>
    </xf>
    <xf numFmtId="0" fontId="0" fillId="0" borderId="0" xfId="0" applyFont="1" applyFill="1" applyProtection="1">
      <protection locked="0"/>
    </xf>
    <xf numFmtId="0" fontId="0" fillId="0" borderId="0" xfId="0" applyFont="1" applyProtection="1">
      <protection locked="0"/>
    </xf>
    <xf numFmtId="164" fontId="7" fillId="2" borderId="12" xfId="20" applyNumberFormat="1" applyFont="1" applyFill="1" applyBorder="1" applyAlignment="1" applyProtection="1">
      <alignment horizontal="right" indent="1"/>
      <protection locked="0"/>
    </xf>
    <xf numFmtId="164" fontId="7" fillId="2" borderId="9" xfId="21" applyNumberFormat="1" applyFont="1" applyFill="1" applyBorder="1" applyAlignment="1">
      <alignment vertical="center"/>
    </xf>
    <xf numFmtId="164" fontId="7" fillId="0" borderId="9" xfId="21" applyNumberFormat="1" applyFont="1" applyFill="1" applyBorder="1" applyAlignment="1" applyProtection="1">
      <alignment horizontal="right" vertical="center" indent="1"/>
      <protection locked="0"/>
    </xf>
    <xf numFmtId="166" fontId="9" fillId="0" borderId="0" xfId="0" applyNumberFormat="1" applyFont="1" applyFill="1" applyAlignment="1">
      <alignment horizontal="right"/>
    </xf>
    <xf numFmtId="166" fontId="10" fillId="0" borderId="0" xfId="0" applyNumberFormat="1" applyFont="1" applyFill="1"/>
    <xf numFmtId="37" fontId="4" fillId="2" borderId="7" xfId="20" applyFont="1" applyFill="1" applyBorder="1" applyAlignment="1" applyProtection="1">
      <alignment horizontal="left" vertical="center"/>
      <protection locked="0"/>
    </xf>
    <xf numFmtId="164" fontId="4" fillId="2" borderId="7" xfId="21" applyNumberFormat="1" applyFont="1" applyFill="1" applyBorder="1" applyAlignment="1">
      <alignment horizontal="right" vertical="center" indent="1"/>
    </xf>
    <xf numFmtId="164" fontId="4" fillId="0" borderId="7" xfId="21" applyNumberFormat="1" applyFont="1" applyFill="1" applyBorder="1" applyAlignment="1">
      <alignment horizontal="right" vertical="center" indent="1"/>
    </xf>
    <xf numFmtId="164" fontId="0" fillId="2" borderId="7" xfId="0" applyNumberFormat="1" applyFill="1" applyBorder="1" applyAlignment="1" applyProtection="1">
      <alignment horizontal="right" indent="1"/>
      <protection locked="0"/>
    </xf>
    <xf numFmtId="43" fontId="0" fillId="0" borderId="0" xfId="18" applyFont="1" applyFill="1" applyProtection="1">
      <protection locked="0"/>
    </xf>
    <xf numFmtId="164" fontId="7" fillId="0" borderId="10" xfId="21" applyNumberFormat="1" applyFont="1" applyFill="1" applyBorder="1" applyAlignment="1" applyProtection="1">
      <alignment horizontal="right" vertical="center" indent="1"/>
      <protection locked="0"/>
    </xf>
    <xf numFmtId="164" fontId="7" fillId="2" borderId="10" xfId="21" applyNumberFormat="1" applyFont="1" applyFill="1" applyBorder="1" applyAlignment="1" applyProtection="1">
      <alignment horizontal="right" vertical="center" indent="1"/>
      <protection locked="0"/>
    </xf>
    <xf numFmtId="164" fontId="7" fillId="2" borderId="9" xfId="21" applyNumberFormat="1" applyFont="1" applyFill="1" applyBorder="1" applyAlignment="1" applyProtection="1">
      <alignment horizontal="right" vertical="center" indent="1"/>
      <protection locked="0"/>
    </xf>
    <xf numFmtId="9" fontId="0" fillId="2" borderId="10" xfId="0" applyNumberFormat="1" applyFill="1" applyBorder="1" applyProtection="1">
      <protection locked="0"/>
    </xf>
    <xf numFmtId="164" fontId="0" fillId="4" borderId="9" xfId="0" applyNumberFormat="1" applyFill="1" applyBorder="1" applyAlignment="1" applyProtection="1">
      <alignment horizontal="right" indent="1"/>
      <protection locked="0"/>
    </xf>
    <xf numFmtId="9" fontId="0" fillId="4" borderId="11" xfId="15" applyNumberFormat="1" applyFont="1" applyFill="1" applyBorder="1" applyProtection="1">
      <protection locked="0"/>
    </xf>
    <xf numFmtId="9" fontId="0" fillId="2" borderId="7" xfId="15" applyNumberFormat="1" applyFont="1" applyFill="1" applyBorder="1" applyProtection="1">
      <protection locked="0"/>
    </xf>
    <xf numFmtId="37" fontId="4" fillId="2" borderId="5" xfId="20" applyFont="1" applyFill="1" applyBorder="1" applyAlignment="1" applyProtection="1">
      <alignment horizontal="left" vertical="center"/>
      <protection locked="0"/>
    </xf>
    <xf numFmtId="164" fontId="4" fillId="2" borderId="5" xfId="20" applyNumberFormat="1" applyFont="1" applyFill="1" applyBorder="1" applyAlignment="1" applyProtection="1">
      <alignment horizontal="right" vertical="center" indent="1"/>
      <protection locked="0"/>
    </xf>
    <xf numFmtId="164" fontId="4" fillId="0" borderId="5" xfId="20" applyNumberFormat="1" applyFont="1" applyFill="1" applyBorder="1" applyAlignment="1" applyProtection="1">
      <alignment horizontal="right" vertical="center" indent="1"/>
      <protection locked="0"/>
    </xf>
    <xf numFmtId="164" fontId="7" fillId="0" borderId="5" xfId="18" applyNumberFormat="1" applyFont="1" applyFill="1" applyBorder="1" applyAlignment="1" applyProtection="1">
      <alignment horizontal="right" vertical="center" indent="1"/>
      <protection locked="0"/>
    </xf>
    <xf numFmtId="164" fontId="7" fillId="2" borderId="5" xfId="18" applyNumberFormat="1" applyFont="1" applyFill="1" applyBorder="1" applyAlignment="1" applyProtection="1">
      <alignment horizontal="right" vertical="center" indent="1"/>
      <protection locked="0"/>
    </xf>
    <xf numFmtId="164" fontId="7" fillId="2" borderId="7" xfId="18" applyNumberFormat="1" applyFont="1" applyFill="1" applyBorder="1" applyAlignment="1" applyProtection="1">
      <alignment horizontal="right" vertical="center" indent="1"/>
      <protection locked="0"/>
    </xf>
    <xf numFmtId="9" fontId="0" fillId="2" borderId="5" xfId="15" applyNumberFormat="1" applyFont="1" applyFill="1" applyBorder="1" applyProtection="1">
      <protection locked="0"/>
    </xf>
    <xf numFmtId="164" fontId="0" fillId="2" borderId="5" xfId="0" applyNumberFormat="1" applyFill="1" applyBorder="1" applyAlignment="1" applyProtection="1">
      <alignment horizontal="right" indent="1"/>
      <protection locked="0"/>
    </xf>
    <xf numFmtId="164" fontId="4" fillId="2" borderId="9" xfId="20" applyNumberFormat="1" applyFont="1" applyFill="1" applyBorder="1" applyAlignment="1" applyProtection="1">
      <alignment horizontal="right" vertical="center" indent="1"/>
      <protection locked="0"/>
    </xf>
    <xf numFmtId="37" fontId="7" fillId="2" borderId="12" xfId="20" applyFont="1" applyFill="1" applyBorder="1" applyAlignment="1" applyProtection="1" quotePrefix="1">
      <alignment horizontal="left" vertical="center"/>
      <protection locked="0"/>
    </xf>
    <xf numFmtId="164" fontId="7" fillId="0" borderId="12" xfId="20" applyNumberFormat="1" applyFont="1" applyFill="1" applyBorder="1" applyAlignment="1" applyProtection="1">
      <alignment horizontal="right" indent="1"/>
      <protection locked="0"/>
    </xf>
    <xf numFmtId="164" fontId="7" fillId="2" borderId="9" xfId="20" applyNumberFormat="1" applyFont="1" applyFill="1" applyBorder="1" applyAlignment="1" applyProtection="1">
      <alignment horizontal="right" indent="1"/>
      <protection locked="0"/>
    </xf>
    <xf numFmtId="9" fontId="0" fillId="2" borderId="9" xfId="15" applyNumberFormat="1" applyFont="1" applyFill="1" applyBorder="1" applyProtection="1">
      <protection locked="0"/>
    </xf>
    <xf numFmtId="164" fontId="7" fillId="2" borderId="5" xfId="21" applyNumberFormat="1" applyFont="1" applyFill="1" applyBorder="1" applyAlignment="1" applyProtection="1" quotePrefix="1">
      <alignment horizontal="right" vertical="center" indent="1"/>
      <protection/>
    </xf>
    <xf numFmtId="164" fontId="7" fillId="0" borderId="5" xfId="21" applyNumberFormat="1" applyFont="1" applyFill="1" applyBorder="1" applyAlignment="1" applyProtection="1" quotePrefix="1">
      <alignment horizontal="right" vertical="center" indent="1"/>
      <protection/>
    </xf>
    <xf numFmtId="164" fontId="4" fillId="2" borderId="9" xfId="20" applyNumberFormat="1" applyFont="1" applyFill="1" applyBorder="1" applyAlignment="1">
      <alignment horizontal="right" vertical="center" indent="1"/>
      <protection/>
    </xf>
    <xf numFmtId="164" fontId="7" fillId="0" borderId="9" xfId="21" applyNumberFormat="1" applyFont="1" applyFill="1" applyBorder="1" applyAlignment="1">
      <alignment horizontal="right" vertical="center" indent="1"/>
    </xf>
    <xf numFmtId="164" fontId="7" fillId="2" borderId="11" xfId="21" applyNumberFormat="1" applyFont="1" applyFill="1" applyBorder="1" applyAlignment="1" applyProtection="1">
      <alignment horizontal="right" vertical="center" indent="1"/>
      <protection locked="0"/>
    </xf>
    <xf numFmtId="164" fontId="7" fillId="0" borderId="11" xfId="21" applyNumberFormat="1" applyFont="1" applyFill="1" applyBorder="1" applyAlignment="1">
      <alignment horizontal="right" vertical="center" indent="1"/>
    </xf>
    <xf numFmtId="9" fontId="0" fillId="2" borderId="9" xfId="0" applyNumberFormat="1" applyFill="1" applyBorder="1" applyProtection="1">
      <protection locked="0"/>
    </xf>
    <xf numFmtId="164" fontId="7" fillId="0" borderId="11" xfId="21" applyNumberFormat="1" applyFont="1" applyFill="1" applyBorder="1" applyAlignment="1" applyProtection="1">
      <alignment horizontal="right" vertical="center" indent="1"/>
      <protection locked="0"/>
    </xf>
    <xf numFmtId="164" fontId="7" fillId="2" borderId="9" xfId="18" applyNumberFormat="1" applyFont="1" applyFill="1" applyBorder="1" applyAlignment="1" applyProtection="1">
      <alignment horizontal="right" vertical="center" indent="1"/>
      <protection locked="0"/>
    </xf>
    <xf numFmtId="164" fontId="7" fillId="0" borderId="9" xfId="18" applyNumberFormat="1" applyFont="1" applyFill="1" applyBorder="1" applyAlignment="1" applyProtection="1">
      <alignment horizontal="right" vertical="center" indent="1"/>
      <protection locked="0"/>
    </xf>
    <xf numFmtId="164" fontId="0" fillId="2" borderId="12" xfId="0" applyNumberFormat="1" applyFill="1" applyBorder="1" applyAlignment="1" applyProtection="1">
      <alignment horizontal="right" indent="1"/>
      <protection locked="0"/>
    </xf>
    <xf numFmtId="164" fontId="4" fillId="2" borderId="9" xfId="21" applyNumberFormat="1" applyFont="1" applyFill="1" applyBorder="1" applyAlignment="1">
      <alignment horizontal="right" vertical="center" indent="1"/>
    </xf>
    <xf numFmtId="164" fontId="4" fillId="0" borderId="9" xfId="21" applyNumberFormat="1" applyFont="1" applyFill="1" applyBorder="1" applyAlignment="1">
      <alignment horizontal="right" vertical="center" indent="1"/>
    </xf>
    <xf numFmtId="37" fontId="7" fillId="2" borderId="9" xfId="20" applyFont="1" applyFill="1" applyBorder="1" applyAlignment="1" applyProtection="1">
      <alignment horizontal="left" vertical="center"/>
      <protection locked="0"/>
    </xf>
    <xf numFmtId="164" fontId="7" fillId="2" borderId="9" xfId="20" applyNumberFormat="1" applyFont="1" applyFill="1" applyBorder="1" applyAlignment="1">
      <alignment horizontal="right" vertical="center" indent="1"/>
      <protection/>
    </xf>
    <xf numFmtId="9" fontId="0" fillId="2" borderId="11" xfId="0" applyNumberFormat="1" applyFill="1" applyBorder="1" applyProtection="1">
      <protection locked="0"/>
    </xf>
    <xf numFmtId="164" fontId="0" fillId="0" borderId="0" xfId="0" applyNumberFormat="1" applyProtection="1">
      <protection locked="0"/>
    </xf>
    <xf numFmtId="164" fontId="4" fillId="2" borderId="7" xfId="20" applyNumberFormat="1" applyFont="1" applyFill="1" applyBorder="1" applyAlignment="1">
      <alignment horizontal="right" vertical="center" indent="1"/>
      <protection/>
    </xf>
    <xf numFmtId="164" fontId="4" fillId="0" borderId="7" xfId="18" applyNumberFormat="1" applyFont="1" applyFill="1" applyBorder="1" applyAlignment="1">
      <alignment horizontal="right" vertical="center" indent="1"/>
    </xf>
    <xf numFmtId="164" fontId="4" fillId="2" borderId="7" xfId="18" applyNumberFormat="1" applyFont="1" applyFill="1" applyBorder="1" applyAlignment="1">
      <alignment horizontal="right" vertical="center" indent="1"/>
    </xf>
    <xf numFmtId="164" fontId="4" fillId="2" borderId="5" xfId="18" applyNumberFormat="1" applyFont="1" applyFill="1" applyBorder="1" applyAlignment="1">
      <alignment horizontal="right" vertical="center" indent="1"/>
    </xf>
    <xf numFmtId="164" fontId="4" fillId="0" borderId="5" xfId="18" applyNumberFormat="1" applyFont="1" applyFill="1" applyBorder="1" applyAlignment="1">
      <alignment horizontal="right" vertical="center" indent="1"/>
    </xf>
    <xf numFmtId="9" fontId="0" fillId="2" borderId="13" xfId="15" applyNumberFormat="1" applyFont="1" applyFill="1" applyBorder="1" applyProtection="1">
      <protection locked="0"/>
    </xf>
    <xf numFmtId="37" fontId="4" fillId="0" borderId="0" xfId="20" applyFont="1" applyFill="1" applyAlignment="1" applyProtection="1">
      <alignment horizontal="left"/>
      <protection locked="0"/>
    </xf>
    <xf numFmtId="37" fontId="4" fillId="0" borderId="0" xfId="20" applyFont="1" applyFill="1" applyAlignment="1">
      <alignment horizontal="left"/>
      <protection/>
    </xf>
    <xf numFmtId="37" fontId="7" fillId="0" borderId="0" xfId="20" applyFont="1" applyFill="1" applyBorder="1">
      <alignment/>
      <protection/>
    </xf>
    <xf numFmtId="0" fontId="12" fillId="0" borderId="0" xfId="0" applyFont="1" applyFill="1" applyProtection="1">
      <protection/>
    </xf>
    <xf numFmtId="0" fontId="13" fillId="0" borderId="0" xfId="0" applyFont="1" applyProtection="1">
      <protection/>
    </xf>
    <xf numFmtId="0" fontId="14" fillId="0" borderId="0" xfId="0" applyFont="1"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14" fillId="0" borderId="0" xfId="0" applyFont="1" applyFill="1" applyAlignment="1" applyProtection="1">
      <alignment vertical="top" wrapText="1"/>
      <protection locked="0"/>
    </xf>
    <xf numFmtId="0" fontId="15" fillId="0" borderId="14" xfId="0" applyFont="1" applyFill="1" applyBorder="1" applyProtection="1">
      <protection/>
    </xf>
    <xf numFmtId="0" fontId="3" fillId="0" borderId="0" xfId="0" applyFont="1" applyProtection="1">
      <protection/>
    </xf>
    <xf numFmtId="0" fontId="13" fillId="0" borderId="0" xfId="0" applyFont="1" applyFill="1" applyAlignment="1" applyProtection="1">
      <alignment horizontal="left" vertical="top"/>
      <protection locked="0"/>
    </xf>
    <xf numFmtId="0" fontId="14" fillId="0" borderId="0" xfId="0" applyFont="1" applyFill="1" applyAlignment="1">
      <alignment horizontal="center" wrapText="1"/>
    </xf>
    <xf numFmtId="0" fontId="15" fillId="0" borderId="15" xfId="0" applyFont="1" applyFill="1" applyBorder="1" applyProtection="1">
      <protection/>
    </xf>
    <xf numFmtId="0" fontId="16" fillId="0" borderId="0" xfId="0" applyFont="1" applyFill="1" applyAlignment="1" applyProtection="1">
      <alignment horizontal="left" vertical="top" wrapText="1"/>
      <protection locked="0"/>
    </xf>
    <xf numFmtId="0" fontId="15" fillId="5" borderId="15" xfId="0" applyFont="1" applyFill="1" applyBorder="1" applyProtection="1">
      <protection/>
    </xf>
    <xf numFmtId="0" fontId="3" fillId="0" borderId="0" xfId="0" applyFont="1" applyFill="1" applyProtection="1">
      <protection/>
    </xf>
    <xf numFmtId="0" fontId="16" fillId="0" borderId="0" xfId="0" applyFont="1" applyFill="1" applyAlignment="1" applyProtection="1">
      <alignment horizontal="left" vertical="top" wrapText="1"/>
      <protection locked="0"/>
    </xf>
    <xf numFmtId="0" fontId="13" fillId="0" borderId="0" xfId="0" applyFont="1" applyFill="1" applyAlignment="1">
      <alignment horizontal="left" wrapText="1"/>
    </xf>
    <xf numFmtId="0" fontId="15" fillId="5" borderId="16" xfId="0" applyFont="1" applyFill="1" applyBorder="1" applyProtection="1">
      <protection/>
    </xf>
    <xf numFmtId="0" fontId="14" fillId="0" borderId="0" xfId="0" applyFont="1" applyFill="1" applyAlignment="1">
      <alignment horizontal="left" vertical="top" wrapText="1"/>
    </xf>
    <xf numFmtId="0" fontId="14" fillId="0" borderId="0" xfId="0" applyFont="1" applyFill="1" applyAlignment="1">
      <alignment horizontal="left" vertical="top" wrapText="1"/>
    </xf>
    <xf numFmtId="0" fontId="13" fillId="0" borderId="0" xfId="0" applyFont="1"/>
    <xf numFmtId="0" fontId="13" fillId="0" borderId="0" xfId="23" applyFont="1" applyFill="1" applyAlignment="1">
      <alignment horizontal="left" wrapText="1"/>
      <protection/>
    </xf>
    <xf numFmtId="0" fontId="13" fillId="0" borderId="0" xfId="23" applyFont="1" applyFill="1" applyAlignment="1">
      <alignment horizontal="left" vertical="top" wrapText="1"/>
      <protection/>
    </xf>
    <xf numFmtId="0" fontId="0" fillId="0" borderId="0" xfId="0" applyAlignment="1">
      <alignment horizontal="left"/>
    </xf>
    <xf numFmtId="0" fontId="13" fillId="0" borderId="0" xfId="0" applyFont="1" applyFill="1" applyAlignment="1">
      <alignment horizontal="left" vertical="top"/>
    </xf>
    <xf numFmtId="0" fontId="0" fillId="0" borderId="0" xfId="0" applyAlignment="1">
      <alignment horizontal="left" wrapText="1"/>
    </xf>
    <xf numFmtId="0" fontId="14" fillId="0" borderId="0" xfId="0" applyFont="1" applyFill="1" applyAlignment="1">
      <alignment horizontal="left" vertical="top"/>
    </xf>
    <xf numFmtId="0" fontId="14" fillId="0" borderId="0" xfId="0" applyFont="1" applyFill="1" applyAlignment="1">
      <alignment horizontal="left" wrapText="1"/>
    </xf>
    <xf numFmtId="0" fontId="0" fillId="0" borderId="0" xfId="0" applyFont="1" applyAlignment="1">
      <alignment wrapText="1"/>
    </xf>
    <xf numFmtId="0" fontId="13" fillId="0" borderId="0" xfId="0" applyFont="1" applyAlignment="1">
      <alignment wrapText="1"/>
    </xf>
    <xf numFmtId="0" fontId="0" fillId="0" borderId="0" xfId="0" applyFont="1" applyAlignment="1">
      <alignment wrapText="1"/>
    </xf>
  </cellXfs>
  <cellStyles count="10">
    <cellStyle name="Normal" xfId="0"/>
    <cellStyle name="Percent" xfId="15"/>
    <cellStyle name="Currency" xfId="16"/>
    <cellStyle name="Currency [0]" xfId="17"/>
    <cellStyle name="Comma" xfId="18"/>
    <cellStyle name="Comma [0]" xfId="19"/>
    <cellStyle name="Normal_AIRPLAN.XLS" xfId="20"/>
    <cellStyle name="Comma 2" xfId="21"/>
    <cellStyle name="Normal_AIRPLAN.XLS_0640 ParksOperating 2011PSQ Fin Plan" xfId="22"/>
    <cellStyle name="Normal 11" xfId="23"/>
  </cellStyles>
  <dxfs count="5">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oss\AppData\Local\Microsoft\Windows\Temporary%20Internet%20Files\Content.Outlook\83P6TIGR\2019-2024%20AFIS%20Levy%20Financial%20Pl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 Plan for Qtrly Rept OLD"/>
      <sheetName val="Operating Financial Plan"/>
      <sheetName val="Summary"/>
      <sheetName val="Levy Proceeds"/>
      <sheetName val="Checklist"/>
      <sheetName val="A30000 smartview"/>
      <sheetName val="BRC rates"/>
      <sheetName val="smartview"/>
    </sheetNames>
    <sheetDataSet>
      <sheetData sheetId="0"/>
      <sheetData sheetId="1"/>
      <sheetData sheetId="2">
        <row r="5">
          <cell r="D5">
            <v>21759105</v>
          </cell>
          <cell r="G5">
            <v>23161337.373884</v>
          </cell>
          <cell r="J5">
            <v>24668076.75360203</v>
          </cell>
        </row>
        <row r="6">
          <cell r="D6">
            <v>4259720</v>
          </cell>
          <cell r="G6">
            <v>3876657.253299999</v>
          </cell>
          <cell r="J6">
            <v>4316894.329566691</v>
          </cell>
        </row>
        <row r="7">
          <cell r="D7">
            <v>8890402.992275152</v>
          </cell>
          <cell r="G7">
            <v>9431828.534504712</v>
          </cell>
          <cell r="J7">
            <v>10006226.892256048</v>
          </cell>
        </row>
        <row r="8">
          <cell r="D8">
            <v>5865682.640499998</v>
          </cell>
          <cell r="G8">
            <v>6217623.598929998</v>
          </cell>
          <cell r="J8">
            <v>6621769.13286045</v>
          </cell>
        </row>
        <row r="9">
          <cell r="D9">
            <v>131550</v>
          </cell>
          <cell r="G9">
            <v>139690.5415</v>
          </cell>
          <cell r="J9">
            <v>148160.61819585148</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showGridLines="0" tabSelected="1" workbookViewId="0" topLeftCell="A19">
      <selection activeCell="Q17" sqref="Q17"/>
    </sheetView>
  </sheetViews>
  <sheetFormatPr defaultColWidth="9.140625" defaultRowHeight="15" outlineLevelCol="1"/>
  <cols>
    <col min="1" max="1" width="3.00390625" style="0" bestFit="1" customWidth="1"/>
    <col min="2" max="2" width="38.421875" style="0" customWidth="1"/>
    <col min="3" max="3" width="15.421875" style="0" bestFit="1" customWidth="1"/>
    <col min="4" max="4" width="16.57421875" style="0" bestFit="1" customWidth="1"/>
    <col min="5" max="6" width="14.7109375" style="0" customWidth="1" outlineLevel="1"/>
    <col min="7" max="7" width="15.421875" style="0" customWidth="1" outlineLevel="1"/>
    <col min="8" max="8" width="15.421875" style="0" bestFit="1" customWidth="1"/>
    <col min="9" max="9" width="16.00390625" style="0" bestFit="1" customWidth="1"/>
    <col min="10" max="10" width="16.00390625" style="0" customWidth="1"/>
    <col min="11" max="11" width="2.28125" style="0" customWidth="1"/>
    <col min="12" max="13" width="15.7109375" style="0" hidden="1" customWidth="1" outlineLevel="1"/>
    <col min="14" max="14" width="1.8515625" style="0" hidden="1" customWidth="1" outlineLevel="1"/>
    <col min="15" max="16" width="15.7109375" style="0" hidden="1" customWidth="1" outlineLevel="1"/>
    <col min="17" max="17" width="15.28125" style="0" bestFit="1" customWidth="1" collapsed="1"/>
    <col min="18" max="18" width="16.140625" style="0" customWidth="1"/>
    <col min="19" max="19" width="12.28125" style="0" bestFit="1" customWidth="1"/>
  </cols>
  <sheetData>
    <row r="1" spans="2:16" s="1" customFormat="1" ht="15.75">
      <c r="B1" s="2" t="s">
        <v>0</v>
      </c>
      <c r="C1" s="2"/>
      <c r="D1" s="2"/>
      <c r="E1" s="2"/>
      <c r="F1" s="2"/>
      <c r="G1" s="2"/>
      <c r="H1" s="2"/>
      <c r="I1" s="2"/>
      <c r="J1" s="3"/>
      <c r="K1" s="4"/>
      <c r="L1" s="5"/>
      <c r="M1" s="5"/>
      <c r="N1" s="6"/>
      <c r="O1" s="5"/>
      <c r="P1" s="6"/>
    </row>
    <row r="2" spans="2:21" s="1" customFormat="1" ht="15.75">
      <c r="B2" s="7" t="s">
        <v>1</v>
      </c>
      <c r="C2" s="7"/>
      <c r="D2" s="7"/>
      <c r="E2" s="7"/>
      <c r="F2" s="7"/>
      <c r="G2" s="7"/>
      <c r="H2" s="7"/>
      <c r="I2" s="7"/>
      <c r="J2" s="8"/>
      <c r="K2" s="4"/>
      <c r="L2" s="9"/>
      <c r="M2" s="9"/>
      <c r="N2" s="9"/>
      <c r="O2" s="9"/>
      <c r="P2" s="9"/>
      <c r="Q2" s="10"/>
      <c r="R2" s="10"/>
      <c r="S2" s="10"/>
      <c r="T2" s="10"/>
      <c r="U2" s="10"/>
    </row>
    <row r="3" spans="2:21" s="1" customFormat="1" ht="15.75">
      <c r="B3" s="8"/>
      <c r="C3" s="8"/>
      <c r="D3" s="8"/>
      <c r="E3" s="8"/>
      <c r="F3" s="8"/>
      <c r="G3" s="8"/>
      <c r="H3" s="8"/>
      <c r="I3" s="8"/>
      <c r="J3" s="8"/>
      <c r="K3" s="4"/>
      <c r="L3" s="11" t="s">
        <v>2</v>
      </c>
      <c r="M3" s="12"/>
      <c r="N3" s="12"/>
      <c r="O3" s="12"/>
      <c r="P3" s="13"/>
      <c r="Q3" s="10"/>
      <c r="R3" s="10"/>
      <c r="S3" s="10"/>
      <c r="T3" s="10"/>
      <c r="U3" s="10"/>
    </row>
    <row r="4" spans="2:16" s="1" customFormat="1" ht="63">
      <c r="B4" s="14" t="s">
        <v>3</v>
      </c>
      <c r="C4" s="15" t="s">
        <v>4</v>
      </c>
      <c r="D4" s="16" t="s">
        <v>5</v>
      </c>
      <c r="E4" s="17" t="s">
        <v>6</v>
      </c>
      <c r="F4" s="17" t="s">
        <v>7</v>
      </c>
      <c r="G4" s="16" t="s">
        <v>8</v>
      </c>
      <c r="H4" s="16" t="s">
        <v>9</v>
      </c>
      <c r="I4" s="16" t="s">
        <v>10</v>
      </c>
      <c r="J4" s="16" t="s">
        <v>11</v>
      </c>
      <c r="K4" s="4"/>
      <c r="L4" s="18" t="s">
        <v>12</v>
      </c>
      <c r="M4" s="19" t="s">
        <v>13</v>
      </c>
      <c r="N4" s="6"/>
      <c r="O4" s="18" t="s">
        <v>14</v>
      </c>
      <c r="P4" s="20" t="s">
        <v>15</v>
      </c>
    </row>
    <row r="5" spans="1:17" s="1" customFormat="1" ht="15.75">
      <c r="A5" s="1">
        <v>1</v>
      </c>
      <c r="B5" s="21" t="s">
        <v>16</v>
      </c>
      <c r="C5" s="22">
        <v>16682335</v>
      </c>
      <c r="D5" s="22">
        <f>C23</f>
        <v>22987127</v>
      </c>
      <c r="E5" s="23">
        <f>D5</f>
        <v>22987127</v>
      </c>
      <c r="F5" s="23">
        <f>D5</f>
        <v>22987127</v>
      </c>
      <c r="G5" s="24">
        <f>D5</f>
        <v>22987127</v>
      </c>
      <c r="H5" s="24">
        <f>D23</f>
        <v>20405127</v>
      </c>
      <c r="I5" s="24">
        <f>H23</f>
        <v>16922902.843372837</v>
      </c>
      <c r="J5" s="24">
        <f>I23</f>
        <v>16397951.768643446</v>
      </c>
      <c r="K5" s="4"/>
      <c r="L5" s="25">
        <f>F5-E5</f>
        <v>0</v>
      </c>
      <c r="M5" s="26">
        <f>_xlfn.IFERROR(F5/E5,"")</f>
        <v>1</v>
      </c>
      <c r="N5" s="6"/>
      <c r="O5" s="27">
        <f>G5-E5</f>
        <v>0</v>
      </c>
      <c r="P5" s="28">
        <f>_xlfn.IFERROR(G5/E5,"")</f>
        <v>1</v>
      </c>
      <c r="Q5" s="29"/>
    </row>
    <row r="6" spans="2:18" s="1" customFormat="1" ht="15.75">
      <c r="B6" s="30" t="s">
        <v>17</v>
      </c>
      <c r="D6" s="31"/>
      <c r="E6" s="32"/>
      <c r="F6" s="32"/>
      <c r="G6" s="33"/>
      <c r="H6" s="33"/>
      <c r="I6" s="33"/>
      <c r="J6" s="34"/>
      <c r="K6" s="4"/>
      <c r="L6" s="25">
        <f aca="true" t="shared" si="0" ref="L6:L23">F6-E6</f>
        <v>0</v>
      </c>
      <c r="M6" s="35" t="str">
        <f aca="true" t="shared" si="1" ref="M6:M34">_xlfn.IFERROR(F6/E6,"")</f>
        <v/>
      </c>
      <c r="N6" s="6"/>
      <c r="O6" s="36">
        <f aca="true" t="shared" si="2" ref="O6:O9">G6-E6</f>
        <v>0</v>
      </c>
      <c r="P6" s="37" t="str">
        <f aca="true" t="shared" si="3" ref="P6:P34">_xlfn.IFERROR(G6/E6,"")</f>
        <v/>
      </c>
      <c r="R6" s="38"/>
    </row>
    <row r="7" spans="1:21" s="1" customFormat="1" ht="15.75">
      <c r="A7" s="1">
        <v>2</v>
      </c>
      <c r="B7" s="39" t="s">
        <v>18</v>
      </c>
      <c r="C7" s="40">
        <v>39782119.65</v>
      </c>
      <c r="D7" s="41">
        <v>42485977</v>
      </c>
      <c r="E7" s="41">
        <f>21022256+22026593</f>
        <v>43048849</v>
      </c>
      <c r="F7" s="42">
        <v>11669704</v>
      </c>
      <c r="G7" s="43">
        <v>43000000</v>
      </c>
      <c r="H7" s="44">
        <v>40264236.47614798</v>
      </c>
      <c r="I7" s="44">
        <v>42052186.22738933</v>
      </c>
      <c r="J7" s="44">
        <v>43844902.29646257</v>
      </c>
      <c r="K7" s="6"/>
      <c r="L7" s="36">
        <f t="shared" si="0"/>
        <v>-31379145</v>
      </c>
      <c r="M7" s="45">
        <f t="shared" si="1"/>
        <v>0.27108051135118616</v>
      </c>
      <c r="N7" s="6"/>
      <c r="O7" s="36">
        <f t="shared" si="2"/>
        <v>-48849</v>
      </c>
      <c r="P7" s="45">
        <f t="shared" si="3"/>
        <v>0.9988652658285939</v>
      </c>
      <c r="Q7" s="46"/>
      <c r="R7" s="46"/>
      <c r="T7" s="47"/>
      <c r="U7" s="48"/>
    </row>
    <row r="8" spans="1:21" s="1" customFormat="1" ht="15.75">
      <c r="A8" s="1">
        <v>3</v>
      </c>
      <c r="B8" s="39" t="s">
        <v>19</v>
      </c>
      <c r="C8" s="49">
        <v>300715.15</v>
      </c>
      <c r="D8" s="50">
        <v>427870</v>
      </c>
      <c r="E8" s="50">
        <v>427870</v>
      </c>
      <c r="F8" s="42">
        <f>177499+579</f>
        <v>178078</v>
      </c>
      <c r="G8" s="51">
        <v>400000</v>
      </c>
      <c r="H8" s="51">
        <f>ROUND(0.015*H5,-4)</f>
        <v>310000</v>
      </c>
      <c r="I8" s="51">
        <f>ROUND(0.015*I5,-4)</f>
        <v>250000</v>
      </c>
      <c r="J8" s="51">
        <f>ROUND(0.015*J5,-4)</f>
        <v>250000</v>
      </c>
      <c r="K8" s="6"/>
      <c r="L8" s="36">
        <f t="shared" si="0"/>
        <v>-249792</v>
      </c>
      <c r="M8" s="45">
        <f t="shared" si="1"/>
        <v>0.4161965082852268</v>
      </c>
      <c r="N8" s="6"/>
      <c r="O8" s="36">
        <f t="shared" si="2"/>
        <v>-27870</v>
      </c>
      <c r="P8" s="45">
        <f t="shared" si="3"/>
        <v>0.9348633930866852</v>
      </c>
      <c r="Q8" s="52"/>
      <c r="R8" s="53"/>
      <c r="S8" s="47"/>
      <c r="T8" s="47"/>
      <c r="U8" s="48"/>
    </row>
    <row r="9" spans="1:21" s="1" customFormat="1" ht="15.75">
      <c r="A9" s="1">
        <v>4</v>
      </c>
      <c r="B9" s="54" t="s">
        <v>20</v>
      </c>
      <c r="C9" s="55">
        <f>SUM(C7:C8)</f>
        <v>40082834.8</v>
      </c>
      <c r="D9" s="55">
        <f>ROUNDUP(SUM(D7:D8),-3)</f>
        <v>42914000</v>
      </c>
      <c r="E9" s="55">
        <f>ROUNDUP(SUM(E7:E8),-3)</f>
        <v>43477000</v>
      </c>
      <c r="F9" s="55">
        <f aca="true" t="shared" si="4" ref="F9:J9">SUM(F7:F8)</f>
        <v>11847782</v>
      </c>
      <c r="G9" s="56">
        <f t="shared" si="4"/>
        <v>43400000</v>
      </c>
      <c r="H9" s="55">
        <f t="shared" si="4"/>
        <v>40574236.47614798</v>
      </c>
      <c r="I9" s="55">
        <f t="shared" si="4"/>
        <v>42302186.22738933</v>
      </c>
      <c r="J9" s="55">
        <f t="shared" si="4"/>
        <v>44094902.29646257</v>
      </c>
      <c r="K9" s="4"/>
      <c r="L9" s="57">
        <f t="shared" si="0"/>
        <v>-31629218</v>
      </c>
      <c r="M9" s="45">
        <f t="shared" si="1"/>
        <v>0.2725068886997723</v>
      </c>
      <c r="N9" s="6"/>
      <c r="O9" s="36">
        <f t="shared" si="2"/>
        <v>-77000</v>
      </c>
      <c r="P9" s="45">
        <f t="shared" si="3"/>
        <v>0.9982289486395105</v>
      </c>
      <c r="Q9" s="58"/>
      <c r="R9" s="47"/>
      <c r="S9" s="47"/>
      <c r="T9" s="47"/>
      <c r="U9" s="48"/>
    </row>
    <row r="10" spans="2:21" s="1" customFormat="1" ht="15.75">
      <c r="B10" s="30" t="s">
        <v>21</v>
      </c>
      <c r="C10" s="49"/>
      <c r="D10" s="49"/>
      <c r="E10" s="59"/>
      <c r="F10" s="59"/>
      <c r="G10" s="59"/>
      <c r="H10" s="60"/>
      <c r="I10" s="60"/>
      <c r="J10" s="61"/>
      <c r="K10" s="6"/>
      <c r="L10" s="25">
        <f t="shared" si="0"/>
        <v>0</v>
      </c>
      <c r="M10" s="35" t="str">
        <f t="shared" si="1"/>
        <v/>
      </c>
      <c r="N10" s="6"/>
      <c r="O10" s="25"/>
      <c r="P10" s="62" t="str">
        <f t="shared" si="3"/>
        <v/>
      </c>
      <c r="Q10" s="47"/>
      <c r="R10" s="47"/>
      <c r="S10" s="47"/>
      <c r="T10" s="47"/>
      <c r="U10" s="48"/>
    </row>
    <row r="11" spans="1:21" s="1" customFormat="1" ht="15.75">
      <c r="A11" s="1">
        <v>5</v>
      </c>
      <c r="B11" s="30" t="s">
        <v>22</v>
      </c>
      <c r="C11" s="49">
        <v>-19044572.87</v>
      </c>
      <c r="D11" s="50">
        <v>-21518772</v>
      </c>
      <c r="E11" s="50">
        <v>-21518772</v>
      </c>
      <c r="F11" s="42">
        <v>-6769521</v>
      </c>
      <c r="G11" s="51">
        <v>-20500000</v>
      </c>
      <c r="H11" s="61">
        <f>-1*'[1]Summary'!D5</f>
        <v>-21759105</v>
      </c>
      <c r="I11" s="61">
        <f>-1*'[1]Summary'!G5</f>
        <v>-23161337.373884</v>
      </c>
      <c r="J11" s="61">
        <f>-1*'[1]Summary'!J5</f>
        <v>-24668076.75360203</v>
      </c>
      <c r="K11" s="6"/>
      <c r="L11" s="63">
        <f t="shared" si="0"/>
        <v>14749251</v>
      </c>
      <c r="M11" s="64">
        <f t="shared" si="1"/>
        <v>0.3145867710294993</v>
      </c>
      <c r="N11" s="6"/>
      <c r="O11" s="36">
        <f aca="true" t="shared" si="5" ref="O11:O16">G11-E11</f>
        <v>1018772</v>
      </c>
      <c r="P11" s="45">
        <f t="shared" si="3"/>
        <v>0.9526565921140853</v>
      </c>
      <c r="Q11" s="46"/>
      <c r="R11" s="46"/>
      <c r="S11" s="47"/>
      <c r="T11" s="47"/>
      <c r="U11" s="48"/>
    </row>
    <row r="12" spans="1:21" s="1" customFormat="1" ht="15.75">
      <c r="A12" s="1">
        <v>6</v>
      </c>
      <c r="B12" s="39" t="s">
        <v>23</v>
      </c>
      <c r="C12" s="49">
        <f>-1454723.77-644079+532945</f>
        <v>-1565857.77</v>
      </c>
      <c r="D12" s="50">
        <v>-1530976</v>
      </c>
      <c r="E12" s="50">
        <v>-1530976</v>
      </c>
      <c r="F12" s="42">
        <v>-399942</v>
      </c>
      <c r="G12" s="51">
        <v>-1500000</v>
      </c>
      <c r="H12" s="61">
        <f>-1*'[1]Summary'!D6</f>
        <v>-4259720</v>
      </c>
      <c r="I12" s="61">
        <f>-1*'[1]Summary'!G6</f>
        <v>-3876657.253299999</v>
      </c>
      <c r="J12" s="61">
        <f>-1*'[1]Summary'!J6</f>
        <v>-4316894.329566691</v>
      </c>
      <c r="K12" s="6"/>
      <c r="L12" s="36">
        <f t="shared" si="0"/>
        <v>1131034</v>
      </c>
      <c r="M12" s="45">
        <f t="shared" si="1"/>
        <v>0.2612333570219259</v>
      </c>
      <c r="N12" s="6"/>
      <c r="O12" s="36">
        <f t="shared" si="5"/>
        <v>30976</v>
      </c>
      <c r="P12" s="45">
        <f t="shared" si="3"/>
        <v>0.9797671550697071</v>
      </c>
      <c r="Q12" s="46"/>
      <c r="R12" s="46"/>
      <c r="S12" s="47"/>
      <c r="T12" s="47"/>
      <c r="U12" s="48"/>
    </row>
    <row r="13" spans="1:21" s="1" customFormat="1" ht="15.75">
      <c r="A13" s="1">
        <v>7</v>
      </c>
      <c r="B13" s="39" t="s">
        <v>24</v>
      </c>
      <c r="C13" s="49">
        <f>-9157779.44+644079</f>
        <v>-8513700.44</v>
      </c>
      <c r="D13" s="50">
        <v>-8249516</v>
      </c>
      <c r="E13" s="50">
        <v>-8249516</v>
      </c>
      <c r="F13" s="42">
        <v>-2658427.22</v>
      </c>
      <c r="G13" s="51">
        <v>-8250000</v>
      </c>
      <c r="H13" s="61">
        <f>-1*'[1]Summary'!D7</f>
        <v>-8890402.992275152</v>
      </c>
      <c r="I13" s="61">
        <f>-1*'[1]Summary'!G7</f>
        <v>-9431828.534504712</v>
      </c>
      <c r="J13" s="61">
        <f>-1*'[1]Summary'!J7</f>
        <v>-10006226.892256048</v>
      </c>
      <c r="K13" s="6"/>
      <c r="L13" s="36">
        <f t="shared" si="0"/>
        <v>5591088.779999999</v>
      </c>
      <c r="M13" s="45">
        <f t="shared" si="1"/>
        <v>0.32225250790470616</v>
      </c>
      <c r="N13" s="6"/>
      <c r="O13" s="36">
        <f t="shared" si="5"/>
        <v>-484</v>
      </c>
      <c r="P13" s="45">
        <f t="shared" si="3"/>
        <v>1.0000586701086465</v>
      </c>
      <c r="Q13" s="46"/>
      <c r="R13" s="46"/>
      <c r="S13" s="47"/>
      <c r="T13" s="47"/>
      <c r="U13" s="48"/>
    </row>
    <row r="14" spans="1:21" s="1" customFormat="1" ht="15.75">
      <c r="A14" s="1">
        <v>8</v>
      </c>
      <c r="B14" s="39" t="s">
        <v>25</v>
      </c>
      <c r="C14" s="49">
        <v>-3619499.48</v>
      </c>
      <c r="D14" s="50">
        <v>-4777472</v>
      </c>
      <c r="E14" s="50">
        <v>-4777472</v>
      </c>
      <c r="F14" s="42">
        <v>-1217365.07</v>
      </c>
      <c r="G14" s="51">
        <v>-4800000</v>
      </c>
      <c r="H14" s="61">
        <f>-1*'[1]Summary'!D8</f>
        <v>-5865682.640499998</v>
      </c>
      <c r="I14" s="61">
        <f>-1*'[1]Summary'!G8</f>
        <v>-6217623.598929998</v>
      </c>
      <c r="J14" s="61">
        <f>-1*'[1]Summary'!J8</f>
        <v>-6621769.13286045</v>
      </c>
      <c r="K14" s="6"/>
      <c r="L14" s="36">
        <f t="shared" si="0"/>
        <v>3560106.9299999997</v>
      </c>
      <c r="M14" s="45">
        <f t="shared" si="1"/>
        <v>0.25481364830604974</v>
      </c>
      <c r="N14" s="6"/>
      <c r="O14" s="36">
        <f t="shared" si="5"/>
        <v>-22528</v>
      </c>
      <c r="P14" s="45">
        <f t="shared" si="3"/>
        <v>1.0047154645804308</v>
      </c>
      <c r="Q14" s="46"/>
      <c r="R14" s="46"/>
      <c r="S14" s="47"/>
      <c r="T14" s="47"/>
      <c r="U14" s="48"/>
    </row>
    <row r="15" spans="1:21" s="1" customFormat="1" ht="15.75">
      <c r="A15" s="1">
        <v>9</v>
      </c>
      <c r="B15" s="39" t="s">
        <v>26</v>
      </c>
      <c r="C15" s="49">
        <f>-543867.62-532945</f>
        <v>-1076812.62</v>
      </c>
      <c r="D15" s="50">
        <v>-500000</v>
      </c>
      <c r="E15" s="50">
        <v>-500000</v>
      </c>
      <c r="F15" s="42">
        <f>-171677-9981</f>
        <v>-181658</v>
      </c>
      <c r="G15" s="51">
        <f>E15</f>
        <v>-500000</v>
      </c>
      <c r="H15" s="61">
        <f>-1*'[1]Summary'!D9</f>
        <v>-131550</v>
      </c>
      <c r="I15" s="61">
        <f>-1*'[1]Summary'!G9</f>
        <v>-139690.5415</v>
      </c>
      <c r="J15" s="61">
        <f>-1*'[1]Summary'!J9</f>
        <v>-148160.61819585148</v>
      </c>
      <c r="K15" s="6"/>
      <c r="L15" s="36">
        <f t="shared" si="0"/>
        <v>318342</v>
      </c>
      <c r="M15" s="45">
        <f t="shared" si="1"/>
        <v>0.363316</v>
      </c>
      <c r="N15" s="6"/>
      <c r="O15" s="36">
        <f t="shared" si="5"/>
        <v>0</v>
      </c>
      <c r="P15" s="45">
        <f t="shared" si="3"/>
        <v>1</v>
      </c>
      <c r="Q15" s="46"/>
      <c r="R15" s="46"/>
      <c r="S15" s="47"/>
      <c r="T15" s="47"/>
      <c r="U15" s="48"/>
    </row>
    <row r="16" spans="1:16" s="1" customFormat="1" ht="15.75">
      <c r="A16" s="1">
        <v>10</v>
      </c>
      <c r="B16" s="39" t="s">
        <v>27</v>
      </c>
      <c r="C16" s="49"/>
      <c r="D16" s="50">
        <v>-8918530</v>
      </c>
      <c r="E16" s="50">
        <v>-8918530</v>
      </c>
      <c r="F16" s="51">
        <v>-495991</v>
      </c>
      <c r="G16" s="51">
        <v>-8900000</v>
      </c>
      <c r="H16" s="61"/>
      <c r="I16" s="61"/>
      <c r="J16" s="61"/>
      <c r="K16" s="6"/>
      <c r="L16" s="36">
        <f t="shared" si="0"/>
        <v>8422539</v>
      </c>
      <c r="M16" s="45">
        <f t="shared" si="1"/>
        <v>0.05561353720848615</v>
      </c>
      <c r="N16" s="6"/>
      <c r="O16" s="36">
        <f t="shared" si="5"/>
        <v>18530</v>
      </c>
      <c r="P16" s="45">
        <f t="shared" si="3"/>
        <v>0.9979223033392274</v>
      </c>
    </row>
    <row r="17" spans="1:16" s="1" customFormat="1" ht="15.75">
      <c r="A17" s="1">
        <v>11</v>
      </c>
      <c r="B17" s="39" t="s">
        <v>28</v>
      </c>
      <c r="C17" s="49"/>
      <c r="D17" s="50"/>
      <c r="E17" s="50"/>
      <c r="F17" s="51"/>
      <c r="G17" s="51"/>
      <c r="H17" s="61">
        <v>-3150000</v>
      </c>
      <c r="I17" s="61"/>
      <c r="J17" s="61"/>
      <c r="K17" s="6"/>
      <c r="L17" s="36"/>
      <c r="M17" s="45"/>
      <c r="N17" s="6"/>
      <c r="O17" s="36"/>
      <c r="P17" s="45"/>
    </row>
    <row r="18" spans="1:16" s="1" customFormat="1" ht="15.75">
      <c r="A18" s="1">
        <v>12</v>
      </c>
      <c r="B18" s="54" t="s">
        <v>29</v>
      </c>
      <c r="C18" s="55">
        <f>SUM(C11:C16)</f>
        <v>-33820443.18</v>
      </c>
      <c r="D18" s="55">
        <f>ROUNDUP(SUM(D11:D16),-3)</f>
        <v>-45496000</v>
      </c>
      <c r="E18" s="55">
        <f>ROUNDUP(SUM(E11:E16),-3)</f>
        <v>-45496000</v>
      </c>
      <c r="F18" s="55">
        <f aca="true" t="shared" si="6" ref="F18:J18">SUM(F11:F16)</f>
        <v>-11722904.290000001</v>
      </c>
      <c r="G18" s="56">
        <f>SUM(G11:G17)</f>
        <v>-44450000</v>
      </c>
      <c r="H18" s="55">
        <f>SUM(H11:H17)</f>
        <v>-44056460.63277514</v>
      </c>
      <c r="I18" s="55">
        <f t="shared" si="6"/>
        <v>-42827137.30211872</v>
      </c>
      <c r="J18" s="55">
        <f t="shared" si="6"/>
        <v>-45761127.72648107</v>
      </c>
      <c r="K18" s="4"/>
      <c r="L18" s="57">
        <f t="shared" si="0"/>
        <v>33773095.71</v>
      </c>
      <c r="M18" s="64">
        <f t="shared" si="1"/>
        <v>0.2576689003428873</v>
      </c>
      <c r="N18" s="6"/>
      <c r="O18" s="36">
        <f>G18-E18</f>
        <v>1046000</v>
      </c>
      <c r="P18" s="65">
        <f t="shared" si="3"/>
        <v>0.9770089678213469</v>
      </c>
    </row>
    <row r="19" spans="1:16" s="1" customFormat="1" ht="18">
      <c r="A19" s="1">
        <v>13</v>
      </c>
      <c r="B19" s="66" t="s">
        <v>30</v>
      </c>
      <c r="C19" s="67"/>
      <c r="D19" s="67"/>
      <c r="E19" s="68"/>
      <c r="F19" s="69"/>
      <c r="G19" s="70"/>
      <c r="H19" s="70"/>
      <c r="I19" s="70"/>
      <c r="J19" s="71"/>
      <c r="K19" s="6"/>
      <c r="L19" s="25">
        <f t="shared" si="0"/>
        <v>0</v>
      </c>
      <c r="M19" s="72" t="str">
        <f t="shared" si="1"/>
        <v/>
      </c>
      <c r="N19" s="6"/>
      <c r="O19" s="73">
        <f>G19-E19</f>
        <v>0</v>
      </c>
      <c r="P19" s="72" t="str">
        <f t="shared" si="3"/>
        <v/>
      </c>
    </row>
    <row r="20" spans="2:16" s="1" customFormat="1" ht="15.75">
      <c r="B20" s="30" t="s">
        <v>31</v>
      </c>
      <c r="C20" s="74"/>
      <c r="D20" s="74"/>
      <c r="E20" s="51"/>
      <c r="F20" s="51"/>
      <c r="G20" s="61"/>
      <c r="H20" s="61"/>
      <c r="I20" s="61"/>
      <c r="J20" s="61"/>
      <c r="K20" s="6"/>
      <c r="L20" s="25">
        <f t="shared" si="0"/>
        <v>0</v>
      </c>
      <c r="M20" s="62" t="str">
        <f t="shared" si="1"/>
        <v/>
      </c>
      <c r="N20" s="6"/>
      <c r="O20" s="25"/>
      <c r="P20" s="62" t="str">
        <f t="shared" si="3"/>
        <v/>
      </c>
    </row>
    <row r="21" spans="1:16" s="1" customFormat="1" ht="18">
      <c r="A21" s="1">
        <v>14</v>
      </c>
      <c r="B21" s="75" t="s">
        <v>32</v>
      </c>
      <c r="C21" s="49">
        <f>22987127-(C5+C9+C18)</f>
        <v>42400.38000000268</v>
      </c>
      <c r="D21" s="49"/>
      <c r="E21" s="76"/>
      <c r="F21" s="76">
        <v>-39301</v>
      </c>
      <c r="G21" s="49">
        <v>-39301</v>
      </c>
      <c r="H21" s="49"/>
      <c r="I21" s="77"/>
      <c r="J21" s="77"/>
      <c r="K21" s="6"/>
      <c r="L21" s="36">
        <f t="shared" si="0"/>
        <v>-39301</v>
      </c>
      <c r="M21" s="78" t="str">
        <f t="shared" si="1"/>
        <v/>
      </c>
      <c r="N21" s="6"/>
      <c r="O21" s="36"/>
      <c r="P21" s="78" t="str">
        <f t="shared" si="3"/>
        <v/>
      </c>
    </row>
    <row r="22" spans="1:16" s="1" customFormat="1" ht="15.75">
      <c r="A22" s="1">
        <v>15</v>
      </c>
      <c r="B22" s="30" t="s">
        <v>33</v>
      </c>
      <c r="C22" s="55">
        <f>C21</f>
        <v>42400.38000000268</v>
      </c>
      <c r="D22" s="55">
        <v>0</v>
      </c>
      <c r="E22" s="56">
        <v>0</v>
      </c>
      <c r="F22" s="56">
        <f>F21</f>
        <v>-39301</v>
      </c>
      <c r="G22" s="55">
        <f>G21</f>
        <v>-39301</v>
      </c>
      <c r="H22" s="55">
        <v>0</v>
      </c>
      <c r="I22" s="55">
        <v>0</v>
      </c>
      <c r="J22" s="55"/>
      <c r="K22" s="4"/>
      <c r="L22" s="36">
        <f t="shared" si="0"/>
        <v>-39301</v>
      </c>
      <c r="M22" s="65" t="str">
        <f t="shared" si="1"/>
        <v/>
      </c>
      <c r="N22" s="6"/>
      <c r="O22" s="57">
        <f aca="true" t="shared" si="7" ref="O22">G22-E22</f>
        <v>-39301</v>
      </c>
      <c r="P22" s="65" t="str">
        <f t="shared" si="3"/>
        <v/>
      </c>
    </row>
    <row r="23" spans="1:16" s="1" customFormat="1" ht="15.75">
      <c r="A23" s="1">
        <v>16</v>
      </c>
      <c r="B23" s="66" t="s">
        <v>34</v>
      </c>
      <c r="C23" s="79">
        <f>C5+C9+C18+C22</f>
        <v>22987127</v>
      </c>
      <c r="D23" s="79">
        <f>D5+D9+D18+D22</f>
        <v>20405127</v>
      </c>
      <c r="E23" s="79">
        <f aca="true" t="shared" si="8" ref="E23:J23">E5+E9+E18+E22</f>
        <v>20968127</v>
      </c>
      <c r="F23" s="79">
        <f>F5+F9+F18+F22</f>
        <v>23072703.71</v>
      </c>
      <c r="G23" s="80">
        <f>G5+G9+G18+G22</f>
        <v>21897826</v>
      </c>
      <c r="H23" s="79">
        <f t="shared" si="8"/>
        <v>16922902.843372837</v>
      </c>
      <c r="I23" s="79">
        <f t="shared" si="8"/>
        <v>16397951.768643446</v>
      </c>
      <c r="J23" s="79">
        <f t="shared" si="8"/>
        <v>14731726.338624947</v>
      </c>
      <c r="K23" s="4"/>
      <c r="L23" s="25">
        <f t="shared" si="0"/>
        <v>2104576.710000001</v>
      </c>
      <c r="M23" s="72">
        <f t="shared" si="1"/>
        <v>1.1003702767538561</v>
      </c>
      <c r="N23" s="6"/>
      <c r="O23" s="73">
        <f>G23-E23</f>
        <v>929699</v>
      </c>
      <c r="P23" s="72">
        <f t="shared" si="3"/>
        <v>1.0443386765064901</v>
      </c>
    </row>
    <row r="24" spans="2:16" s="1" customFormat="1" ht="15.75">
      <c r="B24" s="30" t="s">
        <v>35</v>
      </c>
      <c r="C24" s="81"/>
      <c r="D24" s="81"/>
      <c r="E24" s="82"/>
      <c r="F24" s="82"/>
      <c r="G24" s="34"/>
      <c r="H24" s="34"/>
      <c r="I24" s="34"/>
      <c r="J24" s="34"/>
      <c r="K24" s="4"/>
      <c r="L24" s="25"/>
      <c r="M24" s="62" t="str">
        <f t="shared" si="1"/>
        <v/>
      </c>
      <c r="N24" s="6"/>
      <c r="O24" s="36">
        <f aca="true" t="shared" si="9" ref="O24:O31">G24-E24</f>
        <v>0</v>
      </c>
      <c r="P24" s="45" t="str">
        <f t="shared" si="3"/>
        <v/>
      </c>
    </row>
    <row r="25" spans="1:16" s="1" customFormat="1" ht="18">
      <c r="A25" s="1">
        <v>17</v>
      </c>
      <c r="B25" s="39" t="s">
        <v>36</v>
      </c>
      <c r="C25" s="61">
        <v>-254002</v>
      </c>
      <c r="D25" s="83">
        <f>0.2*D15</f>
        <v>-100000</v>
      </c>
      <c r="E25" s="84">
        <f>$D25</f>
        <v>-100000</v>
      </c>
      <c r="F25" s="84">
        <f>$D25</f>
        <v>-100000</v>
      </c>
      <c r="G25" s="84">
        <f>$D25</f>
        <v>-100000</v>
      </c>
      <c r="H25" s="84"/>
      <c r="I25" s="84"/>
      <c r="J25" s="84"/>
      <c r="K25" s="4"/>
      <c r="L25" s="36"/>
      <c r="M25" s="85"/>
      <c r="N25" s="6"/>
      <c r="O25" s="36"/>
      <c r="P25" s="45"/>
    </row>
    <row r="26" spans="1:16" s="1" customFormat="1" ht="18">
      <c r="A26" s="1">
        <v>18</v>
      </c>
      <c r="B26" s="39" t="s">
        <v>37</v>
      </c>
      <c r="C26" s="61">
        <f>-11500000+880431</f>
        <v>-10619569</v>
      </c>
      <c r="D26" s="51">
        <f>C26-D16</f>
        <v>-1701039</v>
      </c>
      <c r="E26" s="84">
        <f aca="true" t="shared" si="10" ref="E26:G28">$D26</f>
        <v>-1701039</v>
      </c>
      <c r="F26" s="84">
        <f t="shared" si="10"/>
        <v>-1701039</v>
      </c>
      <c r="G26" s="84">
        <f t="shared" si="10"/>
        <v>-1701039</v>
      </c>
      <c r="H26" s="84"/>
      <c r="I26" s="84"/>
      <c r="J26" s="82"/>
      <c r="K26" s="4"/>
      <c r="L26" s="36"/>
      <c r="M26" s="85"/>
      <c r="N26" s="6"/>
      <c r="O26" s="36"/>
      <c r="P26" s="45"/>
    </row>
    <row r="27" spans="1:16" s="1" customFormat="1" ht="18">
      <c r="A27" s="1">
        <v>19</v>
      </c>
      <c r="B27" s="39" t="s">
        <v>38</v>
      </c>
      <c r="C27" s="61">
        <v>-1000000</v>
      </c>
      <c r="D27" s="61">
        <v>-1000000</v>
      </c>
      <c r="E27" s="84">
        <f t="shared" si="10"/>
        <v>-1000000</v>
      </c>
      <c r="F27" s="84">
        <f t="shared" si="10"/>
        <v>-1000000</v>
      </c>
      <c r="G27" s="84">
        <f t="shared" si="10"/>
        <v>-1000000</v>
      </c>
      <c r="H27" s="86"/>
      <c r="I27" s="86"/>
      <c r="J27" s="51"/>
      <c r="K27" s="6"/>
      <c r="L27" s="36"/>
      <c r="M27" s="78">
        <f t="shared" si="1"/>
        <v>1</v>
      </c>
      <c r="N27" s="6"/>
      <c r="O27" s="36">
        <f t="shared" si="9"/>
        <v>0</v>
      </c>
      <c r="P27" s="45">
        <f t="shared" si="3"/>
        <v>1</v>
      </c>
    </row>
    <row r="28" spans="1:16" s="1" customFormat="1" ht="18">
      <c r="A28" s="1">
        <v>20</v>
      </c>
      <c r="B28" s="39" t="s">
        <v>39</v>
      </c>
      <c r="C28" s="87">
        <f>SUM(C11:C15)/12</f>
        <v>-2818370.265</v>
      </c>
      <c r="D28" s="87">
        <f>ROUNDUP(SUM(D11:D15)/12,-4)</f>
        <v>-3050000</v>
      </c>
      <c r="E28" s="84">
        <f t="shared" si="10"/>
        <v>-3050000</v>
      </c>
      <c r="F28" s="84">
        <f t="shared" si="10"/>
        <v>-3050000</v>
      </c>
      <c r="G28" s="84">
        <f t="shared" si="10"/>
        <v>-3050000</v>
      </c>
      <c r="H28" s="88">
        <f>ROUNDUP(SUM(H11:H15)/12,-4)</f>
        <v>-3410000</v>
      </c>
      <c r="I28" s="88">
        <f>ROUNDUP(SUM(I11:I15)/12,-4)</f>
        <v>-3570000</v>
      </c>
      <c r="J28" s="88">
        <f>ROUNDUP(SUM(J11:J15)/12,-4)</f>
        <v>-3820000</v>
      </c>
      <c r="K28" s="6"/>
      <c r="L28" s="89"/>
      <c r="M28" s="78">
        <f t="shared" si="1"/>
        <v>1</v>
      </c>
      <c r="N28" s="6"/>
      <c r="O28" s="36">
        <f t="shared" si="9"/>
        <v>0</v>
      </c>
      <c r="P28" s="45">
        <f t="shared" si="3"/>
        <v>1</v>
      </c>
    </row>
    <row r="29" spans="1:16" s="1" customFormat="1" ht="18">
      <c r="A29" s="1">
        <v>21</v>
      </c>
      <c r="B29" s="39" t="s">
        <v>40</v>
      </c>
      <c r="C29" s="87"/>
      <c r="D29" s="87"/>
      <c r="E29" s="84">
        <v>-2500000</v>
      </c>
      <c r="F29" s="84">
        <v>-2500000</v>
      </c>
      <c r="G29" s="84">
        <v>-2500000</v>
      </c>
      <c r="H29" s="88"/>
      <c r="I29" s="88"/>
      <c r="J29" s="88"/>
      <c r="K29" s="6"/>
      <c r="L29" s="89"/>
      <c r="M29" s="45"/>
      <c r="N29" s="6"/>
      <c r="O29" s="36"/>
      <c r="P29" s="45"/>
    </row>
    <row r="30" spans="1:16" s="1" customFormat="1" ht="15.75">
      <c r="A30" s="1">
        <v>22</v>
      </c>
      <c r="B30" s="30" t="s">
        <v>41</v>
      </c>
      <c r="C30" s="90">
        <f>SUM(C25:C28)</f>
        <v>-14691941.265</v>
      </c>
      <c r="D30" s="90">
        <f>SUM(D25:D28)</f>
        <v>-5851039</v>
      </c>
      <c r="E30" s="90">
        <f>SUM(E25:E29)</f>
        <v>-8351039</v>
      </c>
      <c r="F30" s="90">
        <f>SUM(F25:F29)</f>
        <v>-8351039</v>
      </c>
      <c r="G30" s="90">
        <f>SUM(G25:G29)</f>
        <v>-8351039</v>
      </c>
      <c r="H30" s="91">
        <f aca="true" t="shared" si="11" ref="H30:J30">SUM(H27:H28)</f>
        <v>-3410000</v>
      </c>
      <c r="I30" s="91">
        <f t="shared" si="11"/>
        <v>-3570000</v>
      </c>
      <c r="J30" s="91">
        <f t="shared" si="11"/>
        <v>-3820000</v>
      </c>
      <c r="K30" s="4"/>
      <c r="L30" s="36">
        <f>F30-E30</f>
        <v>0</v>
      </c>
      <c r="M30" s="45">
        <f t="shared" si="1"/>
        <v>1</v>
      </c>
      <c r="N30" s="6"/>
      <c r="O30" s="36">
        <f t="shared" si="9"/>
        <v>0</v>
      </c>
      <c r="P30" s="45">
        <f t="shared" si="3"/>
        <v>1</v>
      </c>
    </row>
    <row r="31" spans="2:16" s="1" customFormat="1" ht="15.75">
      <c r="B31" s="92"/>
      <c r="C31" s="93"/>
      <c r="D31" s="93"/>
      <c r="E31" s="91"/>
      <c r="F31" s="91"/>
      <c r="G31" s="90"/>
      <c r="H31" s="91"/>
      <c r="I31" s="91"/>
      <c r="J31" s="91"/>
      <c r="K31" s="4"/>
      <c r="L31" s="36"/>
      <c r="M31" s="94" t="str">
        <f t="shared" si="1"/>
        <v/>
      </c>
      <c r="N31" s="6"/>
      <c r="O31" s="36">
        <f t="shared" si="9"/>
        <v>0</v>
      </c>
      <c r="P31" s="45" t="str">
        <f t="shared" si="3"/>
        <v/>
      </c>
    </row>
    <row r="32" spans="1:18" s="1" customFormat="1" ht="15.75">
      <c r="A32" s="1">
        <v>23</v>
      </c>
      <c r="B32" s="92" t="s">
        <v>42</v>
      </c>
      <c r="C32" s="34">
        <f aca="true" t="shared" si="12" ref="C32:I32">ABS(IF(C23+C30&gt;0,0,C23+C30))</f>
        <v>0</v>
      </c>
      <c r="D32" s="34">
        <f t="shared" si="12"/>
        <v>0</v>
      </c>
      <c r="E32" s="82">
        <f t="shared" si="12"/>
        <v>0</v>
      </c>
      <c r="F32" s="82">
        <f t="shared" si="12"/>
        <v>0</v>
      </c>
      <c r="G32" s="34">
        <f t="shared" si="12"/>
        <v>0</v>
      </c>
      <c r="H32" s="34">
        <f t="shared" si="12"/>
        <v>0</v>
      </c>
      <c r="I32" s="34">
        <f t="shared" si="12"/>
        <v>0</v>
      </c>
      <c r="J32" s="34"/>
      <c r="K32" s="4"/>
      <c r="L32" s="36">
        <f>F32-E32</f>
        <v>0</v>
      </c>
      <c r="M32" s="45" t="str">
        <f t="shared" si="1"/>
        <v/>
      </c>
      <c r="N32" s="6"/>
      <c r="O32" s="36">
        <f>G32-E32</f>
        <v>0</v>
      </c>
      <c r="P32" s="45" t="str">
        <f t="shared" si="3"/>
        <v/>
      </c>
      <c r="R32" s="95"/>
    </row>
    <row r="33" spans="2:16" s="1" customFormat="1" ht="15.75">
      <c r="B33" s="54"/>
      <c r="C33" s="96"/>
      <c r="D33" s="96"/>
      <c r="E33" s="97"/>
      <c r="F33" s="97"/>
      <c r="G33" s="98"/>
      <c r="H33" s="98"/>
      <c r="I33" s="98"/>
      <c r="J33" s="98"/>
      <c r="K33" s="4"/>
      <c r="L33" s="57"/>
      <c r="M33" s="94" t="str">
        <f t="shared" si="1"/>
        <v/>
      </c>
      <c r="N33" s="6"/>
      <c r="O33" s="57"/>
      <c r="P33" s="94" t="str">
        <f t="shared" si="3"/>
        <v/>
      </c>
    </row>
    <row r="34" spans="1:16" s="1" customFormat="1" ht="15.75">
      <c r="A34" s="1">
        <v>24</v>
      </c>
      <c r="B34" s="66" t="s">
        <v>43</v>
      </c>
      <c r="C34" s="99">
        <f aca="true" t="shared" si="13" ref="C34:J34">ROUND(C23+C30+C32,0)</f>
        <v>8295186</v>
      </c>
      <c r="D34" s="99">
        <f t="shared" si="13"/>
        <v>14554088</v>
      </c>
      <c r="E34" s="100">
        <f t="shared" si="13"/>
        <v>12617088</v>
      </c>
      <c r="F34" s="100">
        <f t="shared" si="13"/>
        <v>14721665</v>
      </c>
      <c r="G34" s="100">
        <f t="shared" si="13"/>
        <v>13546787</v>
      </c>
      <c r="H34" s="99">
        <f t="shared" si="13"/>
        <v>13512903</v>
      </c>
      <c r="I34" s="99">
        <f t="shared" si="13"/>
        <v>12827952</v>
      </c>
      <c r="J34" s="99">
        <f t="shared" si="13"/>
        <v>10911726</v>
      </c>
      <c r="K34" s="4"/>
      <c r="L34" s="73">
        <f>F34-E34</f>
        <v>2104577</v>
      </c>
      <c r="M34" s="101">
        <f t="shared" si="1"/>
        <v>1.1668037030414624</v>
      </c>
      <c r="N34" s="6"/>
      <c r="O34" s="73">
        <f>G34-E34</f>
        <v>929699</v>
      </c>
      <c r="P34" s="101">
        <f t="shared" si="3"/>
        <v>1.0736857030718974</v>
      </c>
    </row>
    <row r="35" spans="2:11" s="1" customFormat="1" ht="15">
      <c r="B35"/>
      <c r="C35"/>
      <c r="D35"/>
      <c r="E35"/>
      <c r="F35"/>
      <c r="G35"/>
      <c r="H35"/>
      <c r="I35"/>
      <c r="J35"/>
      <c r="K35"/>
    </row>
    <row r="36" spans="2:26" ht="15.75">
      <c r="B36" s="102" t="s">
        <v>44</v>
      </c>
      <c r="C36" s="103"/>
      <c r="D36" s="103"/>
      <c r="E36" s="104"/>
      <c r="F36" s="104"/>
      <c r="G36" s="104"/>
      <c r="H36" s="104"/>
      <c r="I36" s="104"/>
      <c r="J36" s="104"/>
      <c r="L36" s="1"/>
      <c r="M36" s="1"/>
      <c r="N36" s="1"/>
      <c r="O36" s="1"/>
      <c r="P36" s="1"/>
      <c r="Q36" s="1"/>
      <c r="R36" s="105"/>
      <c r="S36" s="106"/>
      <c r="T36" s="1"/>
      <c r="U36" s="1"/>
      <c r="V36" s="1"/>
      <c r="W36" s="1"/>
      <c r="X36" s="1"/>
      <c r="Y36" s="1"/>
      <c r="Z36" s="1"/>
    </row>
    <row r="37" spans="2:26" ht="18" thickBot="1">
      <c r="B37" s="107" t="s">
        <v>45</v>
      </c>
      <c r="C37" s="107"/>
      <c r="D37" s="107"/>
      <c r="E37" s="107"/>
      <c r="F37" s="107"/>
      <c r="G37" s="107"/>
      <c r="H37" s="107"/>
      <c r="I37" s="107"/>
      <c r="J37" s="108"/>
      <c r="K37" s="109"/>
      <c r="L37" s="1"/>
      <c r="M37" s="1"/>
      <c r="N37" s="1"/>
      <c r="O37" s="1"/>
      <c r="P37" s="1"/>
      <c r="Q37" s="1"/>
      <c r="R37" s="110"/>
      <c r="S37" s="111">
        <f>IF(COUNTIF($C$23:$I$23,"&lt;0")&gt;0,1,0)</f>
        <v>0</v>
      </c>
      <c r="T37" s="1"/>
      <c r="U37" s="1"/>
      <c r="V37" s="1"/>
      <c r="W37" s="1"/>
      <c r="X37" s="1"/>
      <c r="Y37" s="1"/>
      <c r="Z37" s="1"/>
    </row>
    <row r="38" spans="2:26" ht="17.25" customHeight="1" thickBot="1">
      <c r="B38" s="112" t="s">
        <v>46</v>
      </c>
      <c r="C38" s="113"/>
      <c r="D38" s="113"/>
      <c r="E38" s="113"/>
      <c r="F38" s="104"/>
      <c r="G38" s="104"/>
      <c r="H38" s="104"/>
      <c r="I38" s="104"/>
      <c r="J38" s="104"/>
      <c r="L38" s="1"/>
      <c r="M38" s="1"/>
      <c r="N38" s="1"/>
      <c r="O38" s="1"/>
      <c r="P38" s="1"/>
      <c r="Q38" s="1"/>
      <c r="R38" s="114"/>
      <c r="S38" s="111">
        <f>($E$5=$C$23)*($F$5=$C$23)*($G$5=$C$23)*($H$5=$G$23)*($I$5=$H$23)</f>
        <v>0</v>
      </c>
      <c r="T38" s="1"/>
      <c r="U38" s="1"/>
      <c r="V38" s="1"/>
      <c r="W38" s="1"/>
      <c r="X38" s="1"/>
      <c r="Y38" s="1"/>
      <c r="Z38" s="1"/>
    </row>
    <row r="39" spans="2:26" ht="34.5" customHeight="1" thickBot="1">
      <c r="B39" s="115" t="s">
        <v>47</v>
      </c>
      <c r="C39" s="115"/>
      <c r="D39" s="115"/>
      <c r="E39" s="115"/>
      <c r="F39" s="115"/>
      <c r="G39" s="115"/>
      <c r="H39" s="115"/>
      <c r="I39" s="115"/>
      <c r="J39" s="115"/>
      <c r="K39" s="115"/>
      <c r="L39" s="115"/>
      <c r="M39" s="115"/>
      <c r="N39" s="115"/>
      <c r="O39" s="115"/>
      <c r="P39" s="115"/>
      <c r="Q39" s="1"/>
      <c r="R39" s="116"/>
      <c r="S39" s="117">
        <f>COUNTIF($C$27:$I$27,"&gt;0")</f>
        <v>0</v>
      </c>
      <c r="T39" s="1"/>
      <c r="U39" s="1"/>
      <c r="V39" s="1"/>
      <c r="W39" s="1"/>
      <c r="X39" s="1"/>
      <c r="Y39" s="1"/>
      <c r="Z39" s="1"/>
    </row>
    <row r="40" spans="2:26" ht="18" thickBot="1">
      <c r="B40" s="115" t="s">
        <v>48</v>
      </c>
      <c r="C40" s="115"/>
      <c r="D40" s="115"/>
      <c r="E40" s="115"/>
      <c r="F40" s="115"/>
      <c r="G40" s="115"/>
      <c r="H40" s="115"/>
      <c r="I40" s="115"/>
      <c r="J40" s="118"/>
      <c r="L40" s="1"/>
      <c r="M40" s="1"/>
      <c r="N40" s="1"/>
      <c r="O40" s="1"/>
      <c r="P40" s="1"/>
      <c r="Q40" s="1"/>
      <c r="R40" s="116"/>
      <c r="S40" s="117"/>
      <c r="T40" s="1"/>
      <c r="U40" s="1"/>
      <c r="V40" s="1"/>
      <c r="W40" s="1"/>
      <c r="X40" s="1"/>
      <c r="Y40" s="1"/>
      <c r="Z40" s="1"/>
    </row>
    <row r="41" spans="2:26" ht="36" customHeight="1" thickBot="1">
      <c r="B41" s="119" t="s">
        <v>49</v>
      </c>
      <c r="C41" s="119"/>
      <c r="D41" s="119"/>
      <c r="E41" s="119"/>
      <c r="F41" s="119"/>
      <c r="G41" s="119"/>
      <c r="H41" s="119"/>
      <c r="I41" s="119"/>
      <c r="J41" s="119"/>
      <c r="K41" s="119"/>
      <c r="L41" s="119"/>
      <c r="M41" s="119"/>
      <c r="N41" s="119"/>
      <c r="O41" s="119"/>
      <c r="P41" s="119"/>
      <c r="Q41" s="1"/>
      <c r="R41" s="116"/>
      <c r="S41" s="117">
        <f>IF(COUNTIF($C$7:$I$9,"&lt;0")&gt;0,1,0)</f>
        <v>0</v>
      </c>
      <c r="T41" s="1"/>
      <c r="U41" s="1"/>
      <c r="V41" s="1"/>
      <c r="W41" s="1"/>
      <c r="X41" s="1"/>
      <c r="Y41" s="1"/>
      <c r="Z41" s="1"/>
    </row>
    <row r="42" spans="2:26" ht="32.45" customHeight="1">
      <c r="B42" s="119" t="s">
        <v>50</v>
      </c>
      <c r="C42" s="119"/>
      <c r="D42" s="119"/>
      <c r="E42" s="119"/>
      <c r="F42" s="119"/>
      <c r="G42" s="119"/>
      <c r="H42" s="119"/>
      <c r="I42" s="119"/>
      <c r="J42" s="119"/>
      <c r="K42" s="119"/>
      <c r="L42" s="119"/>
      <c r="M42" s="119"/>
      <c r="N42" s="119"/>
      <c r="O42" s="119"/>
      <c r="P42" s="119"/>
      <c r="Q42" s="1"/>
      <c r="R42" s="120"/>
      <c r="S42" s="117">
        <f>IF(COUNTIF($C$10:$I$18,"&gt;0")&gt;0,1,0)</f>
        <v>0</v>
      </c>
      <c r="T42" s="1"/>
      <c r="U42" s="1"/>
      <c r="V42" s="1"/>
      <c r="W42" s="1"/>
      <c r="X42" s="1"/>
      <c r="Y42" s="1"/>
      <c r="Z42" s="1"/>
    </row>
    <row r="43" spans="2:19" ht="15.75" customHeight="1">
      <c r="B43" s="121" t="s">
        <v>51</v>
      </c>
      <c r="C43" s="121"/>
      <c r="D43" s="121"/>
      <c r="E43" s="121"/>
      <c r="F43" s="121"/>
      <c r="G43" s="121"/>
      <c r="H43" s="121"/>
      <c r="I43" s="121"/>
      <c r="J43" s="122"/>
      <c r="S43" s="123"/>
    </row>
    <row r="44" spans="2:16" ht="33" customHeight="1">
      <c r="B44" s="124" t="s">
        <v>52</v>
      </c>
      <c r="C44" s="124"/>
      <c r="D44" s="124"/>
      <c r="E44" s="124"/>
      <c r="F44" s="124"/>
      <c r="G44" s="124"/>
      <c r="H44" s="124"/>
      <c r="I44" s="124"/>
      <c r="J44" s="124"/>
      <c r="K44" s="124"/>
      <c r="L44" s="124"/>
      <c r="M44" s="124"/>
      <c r="N44" s="124"/>
      <c r="O44" s="124"/>
      <c r="P44" s="124"/>
    </row>
    <row r="45" spans="2:16" ht="51.75" customHeight="1">
      <c r="B45" s="125" t="s">
        <v>53</v>
      </c>
      <c r="C45" s="125"/>
      <c r="D45" s="125"/>
      <c r="E45" s="125"/>
      <c r="F45" s="125"/>
      <c r="G45" s="125"/>
      <c r="H45" s="125"/>
      <c r="I45" s="125"/>
      <c r="J45" s="125"/>
      <c r="K45" s="125"/>
      <c r="L45" s="125"/>
      <c r="M45" s="125"/>
      <c r="N45" s="125"/>
      <c r="O45" s="125"/>
      <c r="P45" s="125"/>
    </row>
    <row r="46" spans="2:16" ht="49.5" customHeight="1">
      <c r="B46" s="125" t="s">
        <v>54</v>
      </c>
      <c r="C46" s="125"/>
      <c r="D46" s="125"/>
      <c r="E46" s="125"/>
      <c r="F46" s="125"/>
      <c r="G46" s="125"/>
      <c r="H46" s="125"/>
      <c r="I46" s="125"/>
      <c r="J46" s="125"/>
      <c r="K46" s="125"/>
      <c r="L46" s="125"/>
      <c r="M46" s="125"/>
      <c r="N46" s="125"/>
      <c r="O46" s="125"/>
      <c r="P46" s="125"/>
    </row>
    <row r="47" spans="2:16" ht="33.75" customHeight="1">
      <c r="B47" s="124" t="s">
        <v>55</v>
      </c>
      <c r="C47" s="124"/>
      <c r="D47" s="124"/>
      <c r="E47" s="124"/>
      <c r="F47" s="124"/>
      <c r="G47" s="124"/>
      <c r="H47" s="124"/>
      <c r="I47" s="124"/>
      <c r="J47" s="124"/>
      <c r="K47" s="124"/>
      <c r="L47" s="124"/>
      <c r="M47" s="124"/>
      <c r="N47" s="124"/>
      <c r="O47" s="124"/>
      <c r="P47" s="124"/>
    </row>
    <row r="48" ht="17.25">
      <c r="B48" s="126" t="s">
        <v>56</v>
      </c>
    </row>
    <row r="49" spans="2:10" ht="15">
      <c r="B49" s="127" t="s">
        <v>57</v>
      </c>
      <c r="C49" s="128"/>
      <c r="D49" s="128"/>
      <c r="E49" s="128"/>
      <c r="F49" s="128"/>
      <c r="G49" s="128"/>
      <c r="H49" s="128"/>
      <c r="I49" s="128"/>
      <c r="J49" s="128"/>
    </row>
    <row r="50" spans="2:10" ht="17.25">
      <c r="B50" s="129"/>
      <c r="C50" s="129"/>
      <c r="D50" s="129"/>
      <c r="E50" s="129"/>
      <c r="F50" s="130"/>
      <c r="G50" s="130"/>
      <c r="H50" s="130"/>
      <c r="I50" s="130"/>
      <c r="J50" s="130"/>
    </row>
    <row r="52" spans="3:8" ht="15">
      <c r="C52" s="131"/>
      <c r="D52" s="131"/>
      <c r="E52" s="131"/>
      <c r="F52" s="131"/>
      <c r="G52" s="131"/>
      <c r="H52" s="131"/>
    </row>
    <row r="53" spans="2:8" ht="15">
      <c r="B53" s="132"/>
      <c r="C53" s="133"/>
      <c r="D53" s="133"/>
      <c r="E53" s="133"/>
      <c r="F53" s="133"/>
      <c r="G53" s="133"/>
      <c r="H53" s="133"/>
    </row>
    <row r="54" spans="3:8" ht="15">
      <c r="C54" s="131"/>
      <c r="D54" s="131"/>
      <c r="E54" s="131"/>
      <c r="F54" s="131"/>
      <c r="G54" s="131"/>
      <c r="H54" s="131"/>
    </row>
  </sheetData>
  <sheetProtection formatCells="0" formatColumns="0" formatRows="0" insertColumns="0" insertRows="0" deleteRows="0" pivotTables="0"/>
  <mergeCells count="15">
    <mergeCell ref="B46:P46"/>
    <mergeCell ref="B47:P47"/>
    <mergeCell ref="B53:H53"/>
    <mergeCell ref="B40:I40"/>
    <mergeCell ref="B41:P41"/>
    <mergeCell ref="B42:P42"/>
    <mergeCell ref="B43:I43"/>
    <mergeCell ref="B44:P44"/>
    <mergeCell ref="B45:P45"/>
    <mergeCell ref="B1:I1"/>
    <mergeCell ref="B2:I2"/>
    <mergeCell ref="L2:P2"/>
    <mergeCell ref="L3:P3"/>
    <mergeCell ref="B37:I37"/>
    <mergeCell ref="B39:P39"/>
  </mergeCells>
  <conditionalFormatting sqref="R37">
    <cfRule type="expression" priority="5" dxfId="0">
      <formula>$S$37=0</formula>
    </cfRule>
  </conditionalFormatting>
  <conditionalFormatting sqref="R38">
    <cfRule type="expression" priority="4" dxfId="0">
      <formula>$S$38=1</formula>
    </cfRule>
  </conditionalFormatting>
  <conditionalFormatting sqref="R39:R40">
    <cfRule type="expression" priority="3" dxfId="0">
      <formula>$S$39=0</formula>
    </cfRule>
  </conditionalFormatting>
  <conditionalFormatting sqref="R41">
    <cfRule type="expression" priority="2" dxfId="0">
      <formula>$S$41=0</formula>
    </cfRule>
  </conditionalFormatting>
  <conditionalFormatting sqref="R42">
    <cfRule type="expression" priority="1" dxfId="0">
      <formula>$S$42=0</formula>
    </cfRule>
  </conditionalFormatting>
  <printOptions/>
  <pageMargins left="0.5" right="0.5" top="0.5" bottom="0.5" header="0.3" footer="0.3"/>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Doss, Greg</dc:creator>
  <cp:keywords/>
  <dc:description/>
  <cp:lastModifiedBy>Doss, Greg</cp:lastModifiedBy>
  <dcterms:created xsi:type="dcterms:W3CDTF">2017-11-17T00:30:45Z</dcterms:created>
  <dcterms:modified xsi:type="dcterms:W3CDTF">2017-11-17T00:32:13Z</dcterms:modified>
  <cp:category/>
  <cp:version/>
  <cp:contentType/>
  <cp:contentStatus/>
</cp:coreProperties>
</file>