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FM\11-30-2016\Draft Folder\2016-0531 and 0532 Sabey Data Center Appropriation and Lease\"/>
    </mc:Choice>
  </mc:AlternateContent>
  <bookViews>
    <workbookView xWindow="0" yWindow="0" windowWidth="16395" windowHeight="6210" tabRatio="639"/>
  </bookViews>
  <sheets>
    <sheet name="SABEY (3)" sheetId="6" r:id="rId1"/>
    <sheet name="NPV Cal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6" l="1"/>
  <c r="W7" i="6" l="1"/>
  <c r="W8" i="6" s="1"/>
  <c r="W9" i="6" s="1"/>
  <c r="W10" i="6" s="1"/>
  <c r="H7" i="2" l="1"/>
  <c r="H8" i="2"/>
  <c r="W5" i="6"/>
  <c r="H6" i="2" s="1"/>
  <c r="G17" i="2" l="1"/>
  <c r="H17" i="2" s="1"/>
  <c r="H9" i="2" l="1"/>
  <c r="F19" i="6"/>
  <c r="G18" i="6"/>
  <c r="F10" i="2"/>
  <c r="F18" i="2" s="1"/>
  <c r="E10" i="2"/>
  <c r="G6" i="2"/>
  <c r="G16" i="2" l="1"/>
  <c r="G18" i="2"/>
  <c r="E16" i="2"/>
  <c r="E18" i="2"/>
  <c r="G29" i="6" s="1"/>
  <c r="W14" i="6"/>
  <c r="H10" i="2"/>
  <c r="N29" i="6"/>
  <c r="N30" i="6" s="1"/>
  <c r="F16" i="2"/>
  <c r="U26" i="6"/>
  <c r="N26" i="6"/>
  <c r="G26" i="6"/>
  <c r="T19" i="6"/>
  <c r="M19" i="6"/>
  <c r="T13" i="6"/>
  <c r="M13" i="6"/>
  <c r="F13" i="6"/>
  <c r="R7" i="6"/>
  <c r="R8" i="6" s="1"/>
  <c r="K7" i="6"/>
  <c r="E7" i="6"/>
  <c r="G7" i="6" s="1"/>
  <c r="D7" i="6"/>
  <c r="D8" i="6" s="1"/>
  <c r="S6" i="6"/>
  <c r="N6" i="6"/>
  <c r="L6" i="6"/>
  <c r="E6" i="6"/>
  <c r="G6" i="6" s="1"/>
  <c r="U6" i="6" l="1"/>
  <c r="U29" i="6"/>
  <c r="U30" i="6" s="1"/>
  <c r="G19" i="2"/>
  <c r="F19" i="2"/>
  <c r="H11" i="2"/>
  <c r="W15" i="6"/>
  <c r="S7" i="6"/>
  <c r="U7" i="6" s="1"/>
  <c r="K8" i="6"/>
  <c r="L7" i="6"/>
  <c r="N7" i="6" s="1"/>
  <c r="D9" i="6"/>
  <c r="E8" i="6"/>
  <c r="G8" i="6" s="1"/>
  <c r="R9" i="6"/>
  <c r="S8" i="6"/>
  <c r="U8" i="6" s="1"/>
  <c r="F20" i="6"/>
  <c r="M20" i="6"/>
  <c r="T20" i="6"/>
  <c r="H12" i="2" l="1"/>
  <c r="W16" i="6"/>
  <c r="R10" i="6"/>
  <c r="S9" i="6"/>
  <c r="U9" i="6" s="1"/>
  <c r="D10" i="6"/>
  <c r="E9" i="6"/>
  <c r="G9" i="6" s="1"/>
  <c r="K9" i="6"/>
  <c r="L8" i="6"/>
  <c r="N8" i="6" s="1"/>
  <c r="G13" i="6" l="1"/>
  <c r="W17" i="6"/>
  <c r="H13" i="2"/>
  <c r="K10" i="6"/>
  <c r="L9" i="6"/>
  <c r="N9" i="6" s="1"/>
  <c r="D14" i="6"/>
  <c r="E10" i="6"/>
  <c r="G10" i="6" s="1"/>
  <c r="R14" i="6"/>
  <c r="S10" i="6"/>
  <c r="U10" i="6" s="1"/>
  <c r="U13" i="6" s="1"/>
  <c r="S13" i="6" l="1"/>
  <c r="H18" i="2"/>
  <c r="H14" i="2"/>
  <c r="H16" i="2" s="1"/>
  <c r="W20" i="6"/>
  <c r="W27" i="6" s="1"/>
  <c r="R15" i="6"/>
  <c r="S14" i="6"/>
  <c r="D15" i="6"/>
  <c r="E14" i="6"/>
  <c r="K14" i="6"/>
  <c r="L10" i="6"/>
  <c r="N10" i="6" s="1"/>
  <c r="N13" i="6" s="1"/>
  <c r="E13" i="6"/>
  <c r="L13" i="6" l="1"/>
  <c r="W29" i="6"/>
  <c r="H19" i="2"/>
  <c r="W30" i="6" s="1"/>
  <c r="K15" i="6"/>
  <c r="L14" i="6"/>
  <c r="D16" i="6"/>
  <c r="E15" i="6"/>
  <c r="G15" i="6" s="1"/>
  <c r="R16" i="6"/>
  <c r="S15" i="6"/>
  <c r="U15" i="6" s="1"/>
  <c r="G14" i="6"/>
  <c r="U14" i="6"/>
  <c r="N14" i="6" l="1"/>
  <c r="R17" i="6"/>
  <c r="S16" i="6"/>
  <c r="D17" i="6"/>
  <c r="E16" i="6"/>
  <c r="K16" i="6"/>
  <c r="L15" i="6"/>
  <c r="N15" i="6" s="1"/>
  <c r="G16" i="6" l="1"/>
  <c r="U16" i="6"/>
  <c r="U19" i="6" s="1"/>
  <c r="U20" i="6" s="1"/>
  <c r="K17" i="6"/>
  <c r="L16" i="6"/>
  <c r="N16" i="6" s="1"/>
  <c r="D18" i="6"/>
  <c r="E17" i="6"/>
  <c r="G17" i="6" s="1"/>
  <c r="R18" i="6"/>
  <c r="S17" i="6"/>
  <c r="U17" i="6" s="1"/>
  <c r="G19" i="6" l="1"/>
  <c r="G20" i="6" s="1"/>
  <c r="K18" i="6"/>
  <c r="L17" i="6"/>
  <c r="S19" i="6"/>
  <c r="S20" i="6" s="1"/>
  <c r="U27" i="6" s="1"/>
  <c r="E19" i="6"/>
  <c r="E20" i="6" s="1"/>
  <c r="G27" i="6" s="1"/>
  <c r="N17" i="6" l="1"/>
  <c r="N19" i="6" s="1"/>
  <c r="L19" i="6"/>
  <c r="L20" i="6" s="1"/>
  <c r="N20" i="6" s="1"/>
  <c r="N27" i="6" s="1"/>
</calcChain>
</file>

<file path=xl/sharedStrings.xml><?xml version="1.0" encoding="utf-8"?>
<sst xmlns="http://schemas.openxmlformats.org/spreadsheetml/2006/main" count="80" uniqueCount="41">
  <si>
    <t>Operating Expenses</t>
  </si>
  <si>
    <t>Lease Year</t>
  </si>
  <si>
    <t>Annual Lease Costs</t>
  </si>
  <si>
    <t xml:space="preserve">Lease Rate PPSF with 3% Annual Escalator </t>
  </si>
  <si>
    <t>Total Annual Costs</t>
  </si>
  <si>
    <t>kW</t>
  </si>
  <si>
    <t>Total Ongoing Costs</t>
  </si>
  <si>
    <t>One-Time Costs</t>
  </si>
  <si>
    <t>Contractually Obligated Removal of Cabling Upon Leaving Space</t>
  </si>
  <si>
    <t>New Space Buildout</t>
  </si>
  <si>
    <t>Sabey Consolidation Construction</t>
  </si>
  <si>
    <t>Total One-Time Costs</t>
  </si>
  <si>
    <t>Grand Total</t>
  </si>
  <si>
    <t>Subtotals</t>
  </si>
  <si>
    <t>SF</t>
  </si>
  <si>
    <t>Scenario C- Current Lease with Proposed Consolidation (3% annual escalator)</t>
  </si>
  <si>
    <t>Scenario A - Current Lease w/ 5 Year Extension (3% annual escalator)</t>
  </si>
  <si>
    <t>Scenario B - Relocate to a New Location in 2020 (3% annual escalator)</t>
  </si>
  <si>
    <t>Scenario A assumptions</t>
  </si>
  <si>
    <t>Scenario B assumptions</t>
  </si>
  <si>
    <t xml:space="preserve">We stay in the space as is and move to new space upon expiration of the current lease in 2020.  </t>
  </si>
  <si>
    <t>Scenario C assumptions</t>
  </si>
  <si>
    <t>We amend current lease and demise the space to new square footage calculation of 3344.  This option adds 5 additional years onto the current lease with a new expiration date of 2025.</t>
  </si>
  <si>
    <t>This option allows for one contraction of the space at year 2020 upon mutual agreement by both parties.</t>
  </si>
  <si>
    <t>New space buildout calculated based on 50% of original moving cost to Sabey due to less equipment to move and less space to build out.</t>
  </si>
  <si>
    <t xml:space="preserve">We stay in the space as is and negotiate a new lease with Sabey upon expiration of the current lease in 2020.  </t>
  </si>
  <si>
    <t>Removal of Misc. Equipment and Items Upon Vacating Premises</t>
  </si>
  <si>
    <t>Scenario A</t>
  </si>
  <si>
    <t>Scenario B</t>
  </si>
  <si>
    <t>Scenario C</t>
  </si>
  <si>
    <t>NPV</t>
  </si>
  <si>
    <t>TOTAL</t>
  </si>
  <si>
    <t>Difference from Scenario A</t>
  </si>
  <si>
    <t>NPV Difference from Scenario A</t>
  </si>
  <si>
    <t>Assumed Capital Cost (FMD Cost of capital)</t>
  </si>
  <si>
    <t>NPV (assumed at 8%)</t>
  </si>
  <si>
    <t>Scenario A included $450K, scenario B included space build out</t>
  </si>
  <si>
    <t>Scenario D</t>
  </si>
  <si>
    <t>Scenario C and D included $450K</t>
  </si>
  <si>
    <t>SCENARIO D - Wholesale Rate (2.5% annual escalator)</t>
  </si>
  <si>
    <t>Lease Wholesale 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</si>
</sst>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Fill="1"/>
    <xf numFmtId="165" fontId="3" fillId="2" borderId="1" xfId="0" applyNumberFormat="1" applyFont="1" applyFill="1" applyBorder="1" applyAlignment="1">
      <alignment horizontal="right" vertical="center" wrapText="1" readingOrder="1"/>
    </xf>
    <xf numFmtId="6" fontId="3" fillId="0" borderId="0" xfId="0" applyNumberFormat="1" applyFont="1" applyFill="1" applyBorder="1" applyAlignment="1">
      <alignment horizontal="right" wrapText="1" readingOrder="1"/>
    </xf>
    <xf numFmtId="164" fontId="5" fillId="0" borderId="1" xfId="0" applyNumberFormat="1" applyFont="1" applyBorder="1" applyAlignment="1">
      <alignment horizontal="left" vertical="center" wrapText="1" readingOrder="1"/>
    </xf>
    <xf numFmtId="164" fontId="5" fillId="0" borderId="3" xfId="0" applyNumberFormat="1" applyFon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left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left" wrapText="1" readingOrder="1"/>
    </xf>
    <xf numFmtId="0" fontId="4" fillId="0" borderId="0" xfId="0" applyFont="1" applyBorder="1" applyAlignment="1">
      <alignment horizontal="center" wrapText="1" readingOrder="1"/>
    </xf>
    <xf numFmtId="49" fontId="10" fillId="0" borderId="0" xfId="0" applyNumberFormat="1" applyFont="1" applyBorder="1" applyAlignment="1">
      <alignment horizontal="center" vertical="center" wrapText="1" readingOrder="1"/>
    </xf>
    <xf numFmtId="8" fontId="3" fillId="0" borderId="0" xfId="0" applyNumberFormat="1" applyFont="1" applyFill="1" applyBorder="1" applyAlignment="1">
      <alignment horizontal="right" wrapText="1" readingOrder="1"/>
    </xf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8" fontId="5" fillId="0" borderId="0" xfId="0" applyNumberFormat="1" applyFont="1" applyFill="1" applyBorder="1" applyAlignment="1">
      <alignment horizontal="right" vertical="center" wrapText="1" readingOrder="1"/>
    </xf>
    <xf numFmtId="8" fontId="3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wrapText="1" readingOrder="1"/>
    </xf>
    <xf numFmtId="0" fontId="11" fillId="0" borderId="0" xfId="0" applyFont="1" applyFill="1" applyBorder="1" applyAlignment="1">
      <alignment wrapText="1" readingOrder="1"/>
    </xf>
    <xf numFmtId="164" fontId="8" fillId="2" borderId="1" xfId="0" applyNumberFormat="1" applyFont="1" applyFill="1" applyBorder="1" applyAlignment="1">
      <alignment horizontal="left" vertical="center" wrapText="1" readingOrder="1"/>
    </xf>
    <xf numFmtId="3" fontId="4" fillId="3" borderId="1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5" fontId="5" fillId="0" borderId="1" xfId="0" applyNumberFormat="1" applyFont="1" applyBorder="1" applyAlignment="1">
      <alignment horizontal="right" vertical="center" wrapText="1" readingOrder="1"/>
    </xf>
    <xf numFmtId="165" fontId="5" fillId="0" borderId="3" xfId="0" applyNumberFormat="1" applyFont="1" applyBorder="1" applyAlignment="1">
      <alignment horizontal="right" vertical="center" wrapText="1" readingOrder="1"/>
    </xf>
    <xf numFmtId="165" fontId="3" fillId="2" borderId="3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3" fontId="8" fillId="2" borderId="1" xfId="0" applyNumberFormat="1" applyFont="1" applyFill="1" applyBorder="1" applyAlignment="1">
      <alignment horizontal="lef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wrapText="1" readingOrder="1"/>
    </xf>
    <xf numFmtId="165" fontId="3" fillId="3" borderId="11" xfId="0" applyNumberFormat="1" applyFont="1" applyFill="1" applyBorder="1" applyAlignment="1">
      <alignment horizontal="right" wrapText="1" readingOrder="1"/>
    </xf>
    <xf numFmtId="6" fontId="7" fillId="7" borderId="10" xfId="0" applyNumberFormat="1" applyFont="1" applyFill="1" applyBorder="1" applyAlignment="1">
      <alignment horizontal="left" wrapText="1" readingOrder="1"/>
    </xf>
    <xf numFmtId="0" fontId="0" fillId="7" borderId="12" xfId="0" applyFill="1" applyBorder="1" applyAlignment="1">
      <alignment horizontal="left" wrapText="1" readingOrder="1"/>
    </xf>
    <xf numFmtId="165" fontId="5" fillId="0" borderId="0" xfId="0" applyNumberFormat="1" applyFont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vertical="center" wrapText="1" readingOrder="1"/>
    </xf>
    <xf numFmtId="3" fontId="0" fillId="0" borderId="0" xfId="0" applyNumberFormat="1" applyFill="1" applyBorder="1" applyAlignment="1">
      <alignment horizontal="center" vertical="center" wrapText="1" readingOrder="1"/>
    </xf>
    <xf numFmtId="165" fontId="11" fillId="0" borderId="0" xfId="0" applyNumberFormat="1" applyFont="1" applyFill="1" applyBorder="1" applyAlignment="1">
      <alignment wrapText="1" readingOrder="1"/>
    </xf>
    <xf numFmtId="0" fontId="4" fillId="6" borderId="15" xfId="0" applyFont="1" applyFill="1" applyBorder="1" applyAlignment="1">
      <alignment horizontal="center" vertical="center" wrapText="1" readingOrder="1"/>
    </xf>
    <xf numFmtId="0" fontId="4" fillId="6" borderId="14" xfId="0" applyFont="1" applyFill="1" applyBorder="1" applyAlignment="1">
      <alignment horizontal="center" vertical="center" wrapText="1" readingOrder="1"/>
    </xf>
    <xf numFmtId="3" fontId="3" fillId="6" borderId="15" xfId="0" applyNumberFormat="1" applyFont="1" applyFill="1" applyBorder="1" applyAlignment="1">
      <alignment horizontal="center" vertical="center" wrapText="1" readingOrder="1"/>
    </xf>
    <xf numFmtId="3" fontId="3" fillId="6" borderId="14" xfId="0" applyNumberFormat="1" applyFont="1" applyFill="1" applyBorder="1" applyAlignment="1">
      <alignment horizontal="center" vertical="center" wrapText="1" readingOrder="1"/>
    </xf>
    <xf numFmtId="3" fontId="3" fillId="6" borderId="15" xfId="0" applyNumberFormat="1" applyFont="1" applyFill="1" applyBorder="1" applyAlignment="1">
      <alignment horizontal="center" wrapText="1" readingOrder="1"/>
    </xf>
    <xf numFmtId="3" fontId="3" fillId="6" borderId="14" xfId="0" applyNumberFormat="1" applyFont="1" applyFill="1" applyBorder="1" applyAlignment="1">
      <alignment horizontal="center" wrapText="1" readingOrder="1"/>
    </xf>
    <xf numFmtId="165" fontId="0" fillId="7" borderId="11" xfId="0" applyNumberFormat="1" applyFill="1" applyBorder="1" applyAlignment="1">
      <alignment wrapText="1" readingOrder="1"/>
    </xf>
    <xf numFmtId="3" fontId="3" fillId="0" borderId="16" xfId="0" applyNumberFormat="1" applyFont="1" applyFill="1" applyBorder="1" applyAlignment="1">
      <alignment horizontal="center" wrapText="1" readingOrder="1"/>
    </xf>
    <xf numFmtId="3" fontId="3" fillId="0" borderId="17" xfId="0" applyNumberFormat="1" applyFont="1" applyFill="1" applyBorder="1" applyAlignment="1">
      <alignment horizontal="center" wrapText="1" readingOrder="1"/>
    </xf>
    <xf numFmtId="3" fontId="3" fillId="0" borderId="18" xfId="0" applyNumberFormat="1" applyFont="1" applyFill="1" applyBorder="1" applyAlignment="1">
      <alignment horizontal="center" wrapText="1" readingOrder="1"/>
    </xf>
    <xf numFmtId="3" fontId="3" fillId="0" borderId="13" xfId="0" applyNumberFormat="1" applyFont="1" applyFill="1" applyBorder="1" applyAlignment="1">
      <alignment horizontal="center" wrapText="1" readingOrder="1"/>
    </xf>
    <xf numFmtId="165" fontId="3" fillId="3" borderId="1" xfId="0" applyNumberFormat="1" applyFont="1" applyFill="1" applyBorder="1" applyAlignment="1">
      <alignment horizontal="right" wrapText="1" readingOrder="1"/>
    </xf>
    <xf numFmtId="0" fontId="6" fillId="0" borderId="0" xfId="0" applyFont="1"/>
    <xf numFmtId="0" fontId="0" fillId="0" borderId="0" xfId="0" applyFont="1"/>
    <xf numFmtId="166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49" fontId="2" fillId="0" borderId="5" xfId="0" applyNumberFormat="1" applyFont="1" applyBorder="1" applyAlignment="1">
      <alignment vertical="center" wrapText="1" readingOrder="1"/>
    </xf>
    <xf numFmtId="49" fontId="0" fillId="0" borderId="5" xfId="0" applyNumberFormat="1" applyBorder="1" applyAlignment="1">
      <alignment vertical="center" wrapText="1" readingOrder="1"/>
    </xf>
    <xf numFmtId="49" fontId="1" fillId="0" borderId="5" xfId="0" applyNumberFormat="1" applyFont="1" applyBorder="1" applyAlignment="1">
      <alignment vertical="center" wrapText="1" readingOrder="1"/>
    </xf>
    <xf numFmtId="0" fontId="0" fillId="0" borderId="5" xfId="0" applyNumberFormat="1" applyBorder="1" applyAlignment="1">
      <alignment vertical="center" wrapText="1" readingOrder="1"/>
    </xf>
    <xf numFmtId="43" fontId="0" fillId="0" borderId="0" xfId="1" applyNumberFormat="1" applyFont="1"/>
    <xf numFmtId="9" fontId="0" fillId="0" borderId="0" xfId="2" applyFont="1"/>
    <xf numFmtId="0" fontId="0" fillId="0" borderId="0" xfId="0" applyAlignment="1">
      <alignment wrapText="1"/>
    </xf>
    <xf numFmtId="0" fontId="6" fillId="8" borderId="21" xfId="0" applyFont="1" applyFill="1" applyBorder="1"/>
    <xf numFmtId="166" fontId="6" fillId="8" borderId="22" xfId="1" applyNumberFormat="1" applyFont="1" applyFill="1" applyBorder="1"/>
    <xf numFmtId="166" fontId="6" fillId="8" borderId="23" xfId="1" applyNumberFormat="1" applyFont="1" applyFill="1" applyBorder="1"/>
    <xf numFmtId="0" fontId="6" fillId="9" borderId="21" xfId="0" applyFont="1" applyFill="1" applyBorder="1"/>
    <xf numFmtId="0" fontId="6" fillId="9" borderId="22" xfId="0" applyFont="1" applyFill="1" applyBorder="1"/>
    <xf numFmtId="166" fontId="6" fillId="9" borderId="22" xfId="1" applyNumberFormat="1" applyFont="1" applyFill="1" applyBorder="1"/>
    <xf numFmtId="165" fontId="6" fillId="9" borderId="23" xfId="0" applyNumberFormat="1" applyFont="1" applyFill="1" applyBorder="1"/>
    <xf numFmtId="0" fontId="6" fillId="9" borderId="0" xfId="0" applyFont="1" applyFill="1" applyBorder="1"/>
    <xf numFmtId="166" fontId="6" fillId="9" borderId="0" xfId="1" applyNumberFormat="1" applyFont="1" applyFill="1" applyBorder="1"/>
    <xf numFmtId="5" fontId="6" fillId="9" borderId="0" xfId="0" applyNumberFormat="1" applyFont="1" applyFill="1" applyBorder="1"/>
    <xf numFmtId="167" fontId="0" fillId="0" borderId="0" xfId="3" applyNumberFormat="1" applyFont="1"/>
    <xf numFmtId="167" fontId="0" fillId="0" borderId="15" xfId="3" applyNumberFormat="1" applyFont="1" applyBorder="1"/>
    <xf numFmtId="167" fontId="0" fillId="0" borderId="24" xfId="3" applyNumberFormat="1" applyFont="1" applyBorder="1"/>
    <xf numFmtId="167" fontId="0" fillId="0" borderId="25" xfId="3" applyNumberFormat="1" applyFont="1" applyBorder="1"/>
    <xf numFmtId="165" fontId="0" fillId="7" borderId="26" xfId="0" applyNumberFormat="1" applyFill="1" applyBorder="1" applyAlignment="1">
      <alignment wrapText="1" readingOrder="1"/>
    </xf>
    <xf numFmtId="167" fontId="0" fillId="0" borderId="15" xfId="3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 readingOrder="1"/>
    </xf>
    <xf numFmtId="0" fontId="12" fillId="0" borderId="0" xfId="0" applyFont="1" applyBorder="1" applyAlignment="1">
      <alignment horizontal="left" wrapText="1" readingOrder="1"/>
    </xf>
    <xf numFmtId="0" fontId="12" fillId="0" borderId="13" xfId="0" applyFont="1" applyBorder="1" applyAlignment="1">
      <alignment horizontal="left" wrapText="1" readingOrder="1"/>
    </xf>
    <xf numFmtId="3" fontId="3" fillId="0" borderId="10" xfId="0" applyNumberFormat="1" applyFont="1" applyFill="1" applyBorder="1" applyAlignment="1">
      <alignment horizontal="left" vertical="center" wrapText="1" readingOrder="1"/>
    </xf>
    <xf numFmtId="0" fontId="0" fillId="0" borderId="12" xfId="0" applyFont="1" applyBorder="1" applyAlignment="1">
      <alignment vertical="center" wrapText="1" readingOrder="1"/>
    </xf>
    <xf numFmtId="3" fontId="0" fillId="0" borderId="12" xfId="0" applyNumberFormat="1" applyFont="1" applyBorder="1" applyAlignment="1">
      <alignment vertical="center" wrapText="1" readingOrder="1"/>
    </xf>
    <xf numFmtId="0" fontId="4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left" wrapText="1" readingOrder="1"/>
    </xf>
    <xf numFmtId="0" fontId="0" fillId="0" borderId="13" xfId="0" applyBorder="1" applyAlignment="1">
      <alignment horizontal="left" wrapText="1" readingOrder="1"/>
    </xf>
    <xf numFmtId="3" fontId="4" fillId="3" borderId="10" xfId="0" applyNumberFormat="1" applyFont="1" applyFill="1" applyBorder="1" applyAlignment="1">
      <alignment horizontal="left" vertical="center" wrapText="1" readingOrder="1"/>
    </xf>
    <xf numFmtId="0" fontId="6" fillId="0" borderId="12" xfId="0" applyFont="1" applyBorder="1" applyAlignment="1">
      <alignment horizontal="left" vertical="center" wrapText="1" readingOrder="1"/>
    </xf>
    <xf numFmtId="3" fontId="6" fillId="0" borderId="12" xfId="0" applyNumberFormat="1" applyFont="1" applyBorder="1" applyAlignment="1">
      <alignment horizontal="left" vertical="center" wrapText="1" readingOrder="1"/>
    </xf>
    <xf numFmtId="3" fontId="4" fillId="4" borderId="10" xfId="0" applyNumberFormat="1" applyFont="1" applyFill="1" applyBorder="1" applyAlignment="1">
      <alignment horizontal="center" vertical="center" wrapText="1" readingOrder="1"/>
    </xf>
    <xf numFmtId="0" fontId="0" fillId="4" borderId="12" xfId="0" applyFill="1" applyBorder="1" applyAlignment="1">
      <alignment horizontal="center" vertical="center" wrapText="1" readingOrder="1"/>
    </xf>
    <xf numFmtId="0" fontId="0" fillId="4" borderId="11" xfId="0" applyFill="1" applyBorder="1" applyAlignment="1">
      <alignment horizontal="center" vertical="center" wrapText="1" readingOrder="1"/>
    </xf>
    <xf numFmtId="3" fontId="0" fillId="4" borderId="12" xfId="0" applyNumberFormat="1" applyFill="1" applyBorder="1" applyAlignment="1">
      <alignment horizontal="center" vertical="center" wrapText="1" readingOrder="1"/>
    </xf>
    <xf numFmtId="3" fontId="0" fillId="4" borderId="11" xfId="0" applyNumberForma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left" wrapText="1" readingOrder="1"/>
    </xf>
    <xf numFmtId="0" fontId="0" fillId="0" borderId="20" xfId="0" applyFill="1" applyBorder="1" applyAlignment="1">
      <alignment horizontal="left" wrapText="1" readingOrder="1"/>
    </xf>
    <xf numFmtId="3" fontId="3" fillId="3" borderId="10" xfId="0" applyNumberFormat="1" applyFont="1" applyFill="1" applyBorder="1" applyAlignment="1">
      <alignment horizontal="left" vertical="center" wrapText="1" readingOrder="1"/>
    </xf>
    <xf numFmtId="0" fontId="0" fillId="3" borderId="12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49" fontId="9" fillId="5" borderId="4" xfId="0" applyNumberFormat="1" applyFont="1" applyFill="1" applyBorder="1" applyAlignment="1">
      <alignment horizontal="center" vertical="center" wrapText="1" readingOrder="1"/>
    </xf>
    <xf numFmtId="49" fontId="9" fillId="5" borderId="5" xfId="0" applyNumberFormat="1" applyFont="1" applyFill="1" applyBorder="1" applyAlignment="1">
      <alignment horizontal="center" vertical="center" wrapText="1" readingOrder="1"/>
    </xf>
    <xf numFmtId="49" fontId="10" fillId="5" borderId="5" xfId="0" applyNumberFormat="1" applyFont="1" applyFill="1" applyBorder="1" applyAlignment="1">
      <alignment horizontal="center" vertical="center" wrapText="1" readingOrder="1"/>
    </xf>
    <xf numFmtId="49" fontId="10" fillId="5" borderId="6" xfId="0" applyNumberFormat="1" applyFont="1" applyFill="1" applyBorder="1" applyAlignment="1">
      <alignment horizontal="center" vertical="center" wrapText="1" readingOrder="1"/>
    </xf>
    <xf numFmtId="49" fontId="9" fillId="5" borderId="7" xfId="0" applyNumberFormat="1" applyFont="1" applyFill="1" applyBorder="1" applyAlignment="1">
      <alignment horizontal="center" vertical="center" wrapText="1" readingOrder="1"/>
    </xf>
    <xf numFmtId="49" fontId="9" fillId="5" borderId="8" xfId="0" applyNumberFormat="1" applyFont="1" applyFill="1" applyBorder="1" applyAlignment="1">
      <alignment horizontal="center" vertical="center" wrapText="1" readingOrder="1"/>
    </xf>
    <xf numFmtId="49" fontId="10" fillId="5" borderId="8" xfId="0" applyNumberFormat="1" applyFont="1" applyFill="1" applyBorder="1" applyAlignment="1">
      <alignment horizontal="center" vertical="center" wrapText="1" readingOrder="1"/>
    </xf>
    <xf numFmtId="49" fontId="10" fillId="5" borderId="9" xfId="0" applyNumberFormat="1" applyFont="1" applyFill="1" applyBorder="1" applyAlignment="1">
      <alignment horizontal="center" vertical="center" wrapText="1" readingOrder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view="pageLayout" topLeftCell="B1" zoomScale="90" zoomScaleNormal="84" zoomScalePageLayoutView="90" workbookViewId="0">
      <selection activeCell="W30" sqref="W30"/>
    </sheetView>
  </sheetViews>
  <sheetFormatPr defaultRowHeight="15" x14ac:dyDescent="0.25"/>
  <cols>
    <col min="1" max="1" width="6.42578125" customWidth="1"/>
    <col min="2" max="2" width="5.85546875" customWidth="1"/>
    <col min="3" max="3" width="5.28515625" customWidth="1"/>
    <col min="4" max="4" width="12" customWidth="1"/>
    <col min="5" max="5" width="9.42578125" customWidth="1"/>
    <col min="6" max="6" width="10" customWidth="1"/>
    <col min="7" max="7" width="13" customWidth="1"/>
    <col min="8" max="8" width="2" customWidth="1"/>
    <col min="9" max="9" width="8.85546875" customWidth="1"/>
    <col min="10" max="10" width="5.42578125" customWidth="1"/>
    <col min="11" max="11" width="11.28515625" customWidth="1"/>
    <col min="12" max="12" width="10" customWidth="1"/>
    <col min="13" max="13" width="10.140625" customWidth="1"/>
    <col min="14" max="14" width="12.5703125" customWidth="1"/>
    <col min="15" max="15" width="3.42578125" customWidth="1"/>
    <col min="16" max="16" width="10.42578125" customWidth="1"/>
    <col min="17" max="17" width="4.42578125" customWidth="1"/>
    <col min="18" max="18" width="11.42578125" customWidth="1"/>
    <col min="19" max="19" width="10.140625" customWidth="1"/>
    <col min="20" max="20" width="10" customWidth="1"/>
    <col min="21" max="21" width="11.28515625" customWidth="1"/>
    <col min="22" max="22" width="3.28515625" customWidth="1"/>
    <col min="23" max="23" width="24.140625" style="80" customWidth="1"/>
  </cols>
  <sheetData>
    <row r="1" spans="1:23" ht="81" customHeight="1" thickBot="1" x14ac:dyDescent="0.3">
      <c r="H1" s="2"/>
      <c r="I1" s="2"/>
    </row>
    <row r="2" spans="1:23" ht="15" customHeight="1" x14ac:dyDescent="0.25">
      <c r="A2" s="107"/>
      <c r="B2" s="8"/>
      <c r="C2" s="8"/>
      <c r="D2" s="108" t="s">
        <v>16</v>
      </c>
      <c r="E2" s="109"/>
      <c r="F2" s="110"/>
      <c r="G2" s="111"/>
      <c r="H2" s="18"/>
      <c r="I2" s="19"/>
      <c r="J2" s="8"/>
      <c r="K2" s="108" t="s">
        <v>17</v>
      </c>
      <c r="L2" s="109"/>
      <c r="M2" s="110"/>
      <c r="N2" s="111"/>
      <c r="O2" s="16"/>
      <c r="P2" s="16"/>
      <c r="R2" s="108" t="s">
        <v>15</v>
      </c>
      <c r="S2" s="109"/>
      <c r="T2" s="110"/>
      <c r="U2" s="111"/>
      <c r="W2" s="108" t="s">
        <v>39</v>
      </c>
    </row>
    <row r="3" spans="1:23" ht="34.5" customHeight="1" thickBot="1" x14ac:dyDescent="0.3">
      <c r="A3" s="107"/>
      <c r="B3" s="8"/>
      <c r="C3" s="8"/>
      <c r="D3" s="112"/>
      <c r="E3" s="113"/>
      <c r="F3" s="114"/>
      <c r="G3" s="115"/>
      <c r="H3" s="18"/>
      <c r="I3" s="19"/>
      <c r="J3" s="8"/>
      <c r="K3" s="112"/>
      <c r="L3" s="113"/>
      <c r="M3" s="114"/>
      <c r="N3" s="115"/>
      <c r="O3" s="16"/>
      <c r="P3" s="16"/>
      <c r="R3" s="112"/>
      <c r="S3" s="113"/>
      <c r="T3" s="114"/>
      <c r="U3" s="115"/>
      <c r="W3" s="112"/>
    </row>
    <row r="4" spans="1:23" ht="57.75" customHeight="1" thickBot="1" x14ac:dyDescent="0.3">
      <c r="A4" s="12" t="s">
        <v>1</v>
      </c>
      <c r="B4" s="46" t="s">
        <v>14</v>
      </c>
      <c r="C4" s="47" t="s">
        <v>5</v>
      </c>
      <c r="D4" s="9" t="s">
        <v>3</v>
      </c>
      <c r="E4" s="9" t="s">
        <v>2</v>
      </c>
      <c r="F4" s="9" t="s">
        <v>0</v>
      </c>
      <c r="G4" s="9" t="s">
        <v>4</v>
      </c>
      <c r="H4" s="20"/>
      <c r="I4" s="46" t="s">
        <v>14</v>
      </c>
      <c r="J4" s="47" t="s">
        <v>5</v>
      </c>
      <c r="K4" s="9" t="s">
        <v>3</v>
      </c>
      <c r="L4" s="9" t="s">
        <v>2</v>
      </c>
      <c r="M4" s="9" t="s">
        <v>0</v>
      </c>
      <c r="N4" s="9" t="s">
        <v>4</v>
      </c>
      <c r="O4" s="12"/>
      <c r="P4" s="46" t="s">
        <v>14</v>
      </c>
      <c r="Q4" s="47" t="s">
        <v>5</v>
      </c>
      <c r="R4" s="9" t="s">
        <v>3</v>
      </c>
      <c r="S4" s="9" t="s">
        <v>2</v>
      </c>
      <c r="T4" s="9" t="s">
        <v>0</v>
      </c>
      <c r="U4" s="9" t="s">
        <v>4</v>
      </c>
      <c r="W4" s="85" t="s">
        <v>40</v>
      </c>
    </row>
    <row r="5" spans="1:23" ht="22.15" customHeight="1" thickBot="1" x14ac:dyDescent="0.3">
      <c r="A5" s="12"/>
      <c r="B5" s="46"/>
      <c r="C5" s="47"/>
      <c r="D5" s="9"/>
      <c r="E5" s="9"/>
      <c r="F5" s="9"/>
      <c r="G5" s="9"/>
      <c r="H5" s="20"/>
      <c r="I5" s="46"/>
      <c r="J5" s="47"/>
      <c r="K5" s="9"/>
      <c r="L5" s="9"/>
      <c r="M5" s="9"/>
      <c r="N5" s="9"/>
      <c r="O5" s="12"/>
      <c r="P5" s="46"/>
      <c r="Q5" s="47"/>
      <c r="R5" s="105" t="s">
        <v>10</v>
      </c>
      <c r="S5" s="106"/>
      <c r="T5" s="106"/>
      <c r="U5" s="57">
        <v>450000</v>
      </c>
      <c r="W5" s="57">
        <f>U5</f>
        <v>450000</v>
      </c>
    </row>
    <row r="6" spans="1:23" ht="15.75" thickBot="1" x14ac:dyDescent="0.3">
      <c r="A6" s="15">
        <v>2016</v>
      </c>
      <c r="B6" s="50">
        <v>7492</v>
      </c>
      <c r="C6" s="51">
        <v>1050</v>
      </c>
      <c r="D6" s="5">
        <v>4.43</v>
      </c>
      <c r="E6" s="30">
        <f>SUM(B6*D6)*12</f>
        <v>398274.72</v>
      </c>
      <c r="F6" s="30">
        <v>338172</v>
      </c>
      <c r="G6" s="30">
        <f>SUM(E6:F6)</f>
        <v>736446.72</v>
      </c>
      <c r="H6" s="21"/>
      <c r="I6" s="48">
        <v>7492</v>
      </c>
      <c r="J6" s="49">
        <v>1050</v>
      </c>
      <c r="K6" s="5">
        <v>4.43</v>
      </c>
      <c r="L6" s="30">
        <f>SUM(B6*K6)*12</f>
        <v>398274.72</v>
      </c>
      <c r="M6" s="30">
        <v>338172</v>
      </c>
      <c r="N6" s="30">
        <f>SUM(L6:M6)</f>
        <v>736446.72</v>
      </c>
      <c r="O6" s="40"/>
      <c r="P6" s="48">
        <v>3344</v>
      </c>
      <c r="Q6" s="49">
        <v>350</v>
      </c>
      <c r="R6" s="5">
        <v>9.5</v>
      </c>
      <c r="S6" s="30">
        <f>SUM(P6*R6)*12</f>
        <v>381216</v>
      </c>
      <c r="T6" s="30">
        <v>121622.64</v>
      </c>
      <c r="U6" s="30">
        <f>SUM(S6:T6)</f>
        <v>502838.64</v>
      </c>
      <c r="W6" s="30">
        <f>40250*12</f>
        <v>483000</v>
      </c>
    </row>
    <row r="7" spans="1:23" ht="15.75" thickBot="1" x14ac:dyDescent="0.3">
      <c r="A7" s="15">
        <v>2017</v>
      </c>
      <c r="B7" s="50">
        <v>7492</v>
      </c>
      <c r="C7" s="51">
        <v>1050</v>
      </c>
      <c r="D7" s="5">
        <f>(D6*1.03)</f>
        <v>4.5629</v>
      </c>
      <c r="E7" s="30">
        <f t="shared" ref="E7:E10" si="0">SUM(B7*D7)*12</f>
        <v>410222.96160000004</v>
      </c>
      <c r="F7" s="30">
        <v>338172</v>
      </c>
      <c r="G7" s="30">
        <f>SUM(E7:F7)</f>
        <v>748394.96160000004</v>
      </c>
      <c r="H7" s="21"/>
      <c r="I7" s="48">
        <v>7492</v>
      </c>
      <c r="J7" s="49">
        <v>1050</v>
      </c>
      <c r="K7" s="5">
        <f>(K6*1.03)</f>
        <v>4.5629</v>
      </c>
      <c r="L7" s="30">
        <f>SUM(B7*K7)*12</f>
        <v>410222.96160000004</v>
      </c>
      <c r="M7" s="30">
        <v>338172</v>
      </c>
      <c r="N7" s="30">
        <f>SUM(L7:M7)</f>
        <v>748394.96160000004</v>
      </c>
      <c r="O7" s="42"/>
      <c r="P7" s="48">
        <v>3344</v>
      </c>
      <c r="Q7" s="49">
        <v>350</v>
      </c>
      <c r="R7" s="5">
        <f>(R6*1.03)</f>
        <v>9.7850000000000001</v>
      </c>
      <c r="S7" s="30">
        <f t="shared" ref="S7:S10" si="1">SUM(P7*R7)*12</f>
        <v>392652.48</v>
      </c>
      <c r="T7" s="30">
        <v>121622.64</v>
      </c>
      <c r="U7" s="30">
        <f>SUM(S7:T7)</f>
        <v>514275.12</v>
      </c>
      <c r="W7" s="30">
        <f>40250*12*1.025</f>
        <v>495074.99999999994</v>
      </c>
    </row>
    <row r="8" spans="1:23" ht="15.75" thickBot="1" x14ac:dyDescent="0.3">
      <c r="A8" s="15">
        <v>2018</v>
      </c>
      <c r="B8" s="50">
        <v>7492</v>
      </c>
      <c r="C8" s="51">
        <v>1050</v>
      </c>
      <c r="D8" s="6">
        <f t="shared" ref="D8:D10" si="2">(D7*1.03)</f>
        <v>4.6997869999999997</v>
      </c>
      <c r="E8" s="30">
        <f>SUM(B8*D8)*12</f>
        <v>422529.650448</v>
      </c>
      <c r="F8" s="31">
        <v>338172</v>
      </c>
      <c r="G8" s="30">
        <f>SUM(E8:F8)</f>
        <v>760701.65044800006</v>
      </c>
      <c r="H8" s="21"/>
      <c r="I8" s="48">
        <v>7492</v>
      </c>
      <c r="J8" s="49">
        <v>1050</v>
      </c>
      <c r="K8" s="6">
        <f t="shared" ref="K8:K10" si="3">(K7*1.03)</f>
        <v>4.6997869999999997</v>
      </c>
      <c r="L8" s="30">
        <f>SUM(B8*K8)*12</f>
        <v>422529.650448</v>
      </c>
      <c r="M8" s="31">
        <v>338172</v>
      </c>
      <c r="N8" s="30">
        <f>SUM(L8:M8)</f>
        <v>760701.65044800006</v>
      </c>
      <c r="O8" s="42"/>
      <c r="P8" s="48">
        <v>3344</v>
      </c>
      <c r="Q8" s="49">
        <v>350</v>
      </c>
      <c r="R8" s="6">
        <f t="shared" ref="R8:R10" si="4">(R7*1.03)</f>
        <v>10.07855</v>
      </c>
      <c r="S8" s="30">
        <f t="shared" si="1"/>
        <v>404432.05439999996</v>
      </c>
      <c r="T8" s="31">
        <v>121622.64</v>
      </c>
      <c r="U8" s="30">
        <f>SUM(S8:T8)</f>
        <v>526054.69439999992</v>
      </c>
      <c r="W8" s="30">
        <f>W7*1.025</f>
        <v>507451.87499999988</v>
      </c>
    </row>
    <row r="9" spans="1:23" ht="15.75" thickBot="1" x14ac:dyDescent="0.3">
      <c r="A9" s="15">
        <v>2019</v>
      </c>
      <c r="B9" s="50">
        <v>7492</v>
      </c>
      <c r="C9" s="51">
        <v>1050</v>
      </c>
      <c r="D9" s="6">
        <f t="shared" si="2"/>
        <v>4.8407806099999995</v>
      </c>
      <c r="E9" s="30">
        <f t="shared" si="0"/>
        <v>435205.53996143991</v>
      </c>
      <c r="F9" s="30">
        <v>338172</v>
      </c>
      <c r="G9" s="30">
        <f>SUM(E9:F9)</f>
        <v>773377.53996143991</v>
      </c>
      <c r="H9" s="21"/>
      <c r="I9" s="48">
        <v>7492</v>
      </c>
      <c r="J9" s="49">
        <v>1050</v>
      </c>
      <c r="K9" s="6">
        <f t="shared" si="3"/>
        <v>4.8407806099999995</v>
      </c>
      <c r="L9" s="30">
        <f>SUM(B9*K9)*12</f>
        <v>435205.53996143991</v>
      </c>
      <c r="M9" s="30">
        <v>338172</v>
      </c>
      <c r="N9" s="30">
        <f>SUM(L9:M9)</f>
        <v>773377.53996143991</v>
      </c>
      <c r="O9" s="42"/>
      <c r="P9" s="48">
        <v>3344</v>
      </c>
      <c r="Q9" s="49">
        <v>350</v>
      </c>
      <c r="R9" s="6">
        <f t="shared" si="4"/>
        <v>10.3809065</v>
      </c>
      <c r="S9" s="30">
        <f t="shared" si="1"/>
        <v>416565.01603200001</v>
      </c>
      <c r="T9" s="30">
        <v>121622.64</v>
      </c>
      <c r="U9" s="30">
        <f>SUM(S9:T9)</f>
        <v>538187.65603199997</v>
      </c>
      <c r="W9" s="30">
        <f t="shared" ref="W9:W10" si="5">W8*1.025</f>
        <v>520138.17187499983</v>
      </c>
    </row>
    <row r="10" spans="1:23" ht="15.75" thickBot="1" x14ac:dyDescent="0.3">
      <c r="A10" s="15">
        <v>2020</v>
      </c>
      <c r="B10" s="50">
        <v>7492</v>
      </c>
      <c r="C10" s="51">
        <v>1050</v>
      </c>
      <c r="D10" s="6">
        <f t="shared" si="2"/>
        <v>4.9860040283</v>
      </c>
      <c r="E10" s="30">
        <f t="shared" si="0"/>
        <v>448261.70616028318</v>
      </c>
      <c r="F10" s="30">
        <v>338172</v>
      </c>
      <c r="G10" s="30">
        <f>SUM(E10:F10)</f>
        <v>786433.70616028318</v>
      </c>
      <c r="H10" s="21"/>
      <c r="I10" s="48">
        <v>7492</v>
      </c>
      <c r="J10" s="49">
        <v>1050</v>
      </c>
      <c r="K10" s="6">
        <f t="shared" si="3"/>
        <v>4.9860040283</v>
      </c>
      <c r="L10" s="30">
        <f>SUM(B10*K10)*12</f>
        <v>448261.70616028318</v>
      </c>
      <c r="M10" s="30">
        <v>338172</v>
      </c>
      <c r="N10" s="30">
        <f>SUM(L10:M10)</f>
        <v>786433.70616028318</v>
      </c>
      <c r="O10" s="42"/>
      <c r="P10" s="48">
        <v>3344</v>
      </c>
      <c r="Q10" s="49">
        <v>350</v>
      </c>
      <c r="R10" s="6">
        <f t="shared" si="4"/>
        <v>10.692333695</v>
      </c>
      <c r="S10" s="30">
        <f t="shared" si="1"/>
        <v>429061.96651295997</v>
      </c>
      <c r="T10" s="30">
        <v>121622.64</v>
      </c>
      <c r="U10" s="30">
        <f>SUM(S10:T10)</f>
        <v>550684.60651295993</v>
      </c>
      <c r="V10" s="62"/>
      <c r="W10" s="30">
        <f t="shared" si="5"/>
        <v>533141.62617187481</v>
      </c>
    </row>
    <row r="11" spans="1:23" ht="15.75" thickBot="1" x14ac:dyDescent="0.3">
      <c r="A11" s="15"/>
      <c r="B11" s="53"/>
      <c r="C11" s="54"/>
      <c r="D11" s="98" t="s">
        <v>7</v>
      </c>
      <c r="E11" s="99"/>
      <c r="F11" s="99"/>
      <c r="G11" s="100"/>
      <c r="H11" s="21"/>
      <c r="I11" s="53"/>
      <c r="J11" s="54"/>
      <c r="K11" s="98" t="s">
        <v>7</v>
      </c>
      <c r="L11" s="99"/>
      <c r="M11" s="99"/>
      <c r="N11" s="100"/>
      <c r="O11" s="42"/>
      <c r="P11" s="53"/>
      <c r="Q11" s="54"/>
      <c r="R11" s="98" t="s">
        <v>7</v>
      </c>
      <c r="S11" s="99"/>
      <c r="T11" s="99"/>
      <c r="U11" s="100"/>
      <c r="V11" s="62"/>
      <c r="W11" s="81"/>
    </row>
    <row r="12" spans="1:23" ht="15.75" customHeight="1" thickBot="1" x14ac:dyDescent="0.3">
      <c r="A12" s="15"/>
      <c r="B12" s="55"/>
      <c r="C12" s="56"/>
      <c r="D12" s="89" t="s">
        <v>10</v>
      </c>
      <c r="E12" s="91"/>
      <c r="F12" s="91"/>
      <c r="G12" s="36">
        <v>450000</v>
      </c>
      <c r="H12" s="21"/>
      <c r="I12" s="55"/>
      <c r="J12" s="56"/>
      <c r="K12" s="89" t="s">
        <v>10</v>
      </c>
      <c r="L12" s="91"/>
      <c r="M12" s="91"/>
      <c r="N12" s="36">
        <v>0</v>
      </c>
      <c r="O12" s="42"/>
      <c r="P12" s="55"/>
      <c r="Q12" s="56"/>
      <c r="R12" s="89" t="s">
        <v>10</v>
      </c>
      <c r="S12" s="91"/>
      <c r="T12" s="91"/>
      <c r="U12" s="36">
        <v>0</v>
      </c>
      <c r="W12" s="81"/>
    </row>
    <row r="13" spans="1:23" ht="15.75" thickBot="1" x14ac:dyDescent="0.3">
      <c r="A13" s="13"/>
      <c r="B13" s="103"/>
      <c r="C13" s="104"/>
      <c r="D13" s="26" t="s">
        <v>13</v>
      </c>
      <c r="E13" s="35">
        <f>SUM(E6:E10)</f>
        <v>2114494.578169723</v>
      </c>
      <c r="F13" s="3">
        <f>SUM(F6:F10)</f>
        <v>1690860</v>
      </c>
      <c r="G13" s="32">
        <f>SUM(G6:G12)</f>
        <v>4255354.578169723</v>
      </c>
      <c r="H13" s="22"/>
      <c r="I13" s="103"/>
      <c r="J13" s="104"/>
      <c r="K13" s="34" t="s">
        <v>13</v>
      </c>
      <c r="L13" s="35">
        <f>SUM(L6:L10)</f>
        <v>2114494.578169723</v>
      </c>
      <c r="M13" s="3">
        <f>SUM(M6:M10)</f>
        <v>1690860</v>
      </c>
      <c r="N13" s="32">
        <f>SUM(N6:N10)</f>
        <v>3805354.578169723</v>
      </c>
      <c r="O13" s="43"/>
      <c r="P13" s="103"/>
      <c r="Q13" s="104"/>
      <c r="R13" s="26" t="s">
        <v>13</v>
      </c>
      <c r="S13" s="35">
        <f>SUM(S6:S10)</f>
        <v>2023927.51694496</v>
      </c>
      <c r="T13" s="3">
        <f>SUM(T6:T10)</f>
        <v>608113.19999999995</v>
      </c>
      <c r="U13" s="32">
        <f>SUM(U5:U10)</f>
        <v>3082040.7169449599</v>
      </c>
      <c r="W13" s="81"/>
    </row>
    <row r="14" spans="1:23" ht="15.75" thickBot="1" x14ac:dyDescent="0.3">
      <c r="A14" s="15">
        <v>2021</v>
      </c>
      <c r="B14" s="50">
        <v>3344</v>
      </c>
      <c r="C14" s="51">
        <v>350</v>
      </c>
      <c r="D14" s="6">
        <f>(D10*1.03)</f>
        <v>5.1355841491490004</v>
      </c>
      <c r="E14" s="30">
        <f>SUM(B14*D14)*12</f>
        <v>206080.7207370511</v>
      </c>
      <c r="F14" s="30">
        <v>121622.64</v>
      </c>
      <c r="G14" s="30">
        <f>SUM(E14:F14)</f>
        <v>327703.36073705112</v>
      </c>
      <c r="H14" s="21"/>
      <c r="I14" s="48">
        <v>3344</v>
      </c>
      <c r="J14" s="49">
        <v>350</v>
      </c>
      <c r="K14" s="6">
        <f>(K10*1.03)</f>
        <v>5.1355841491490004</v>
      </c>
      <c r="L14" s="30">
        <f>SUM(B14*K14)*12</f>
        <v>206080.7207370511</v>
      </c>
      <c r="M14" s="30">
        <v>121622.64</v>
      </c>
      <c r="N14" s="30">
        <f>SUM(L14:M14)</f>
        <v>327703.36073705112</v>
      </c>
      <c r="O14" s="42"/>
      <c r="P14" s="48">
        <v>3344</v>
      </c>
      <c r="Q14" s="49">
        <v>350</v>
      </c>
      <c r="R14" s="6">
        <f>(R10*1.03)</f>
        <v>11.01310370585</v>
      </c>
      <c r="S14" s="30">
        <f>SUM(B14*R14)*12</f>
        <v>441933.82550834876</v>
      </c>
      <c r="T14" s="30">
        <v>121622.64</v>
      </c>
      <c r="U14" s="30">
        <f>SUM(S14:T14)</f>
        <v>563556.46550834877</v>
      </c>
      <c r="W14" s="30">
        <f>W10*1.025</f>
        <v>546470.16682617168</v>
      </c>
    </row>
    <row r="15" spans="1:23" ht="15.75" thickBot="1" x14ac:dyDescent="0.3">
      <c r="A15" s="15">
        <v>2022</v>
      </c>
      <c r="B15" s="50">
        <v>3344</v>
      </c>
      <c r="C15" s="51">
        <v>350</v>
      </c>
      <c r="D15" s="6">
        <f>(D14*1.03)</f>
        <v>5.2896516736234709</v>
      </c>
      <c r="E15" s="30">
        <f t="shared" ref="E15" si="6">SUM(B15*D15)*12</f>
        <v>212263.14235916262</v>
      </c>
      <c r="F15" s="30">
        <v>121622.64</v>
      </c>
      <c r="G15" s="30">
        <f>SUM(E15:F15)</f>
        <v>333885.78235916264</v>
      </c>
      <c r="H15" s="21"/>
      <c r="I15" s="48">
        <v>3344</v>
      </c>
      <c r="J15" s="49">
        <v>350</v>
      </c>
      <c r="K15" s="6">
        <f>(K14*1.03)</f>
        <v>5.2896516736234709</v>
      </c>
      <c r="L15" s="30">
        <f>SUM(B15*K15)*12</f>
        <v>212263.14235916262</v>
      </c>
      <c r="M15" s="30">
        <v>121622.64</v>
      </c>
      <c r="N15" s="30">
        <f>SUM(L15:M15)</f>
        <v>333885.78235916264</v>
      </c>
      <c r="O15" s="42"/>
      <c r="P15" s="48">
        <v>3344</v>
      </c>
      <c r="Q15" s="49">
        <v>350</v>
      </c>
      <c r="R15" s="6">
        <f>(R14*1.03)</f>
        <v>11.3434968170255</v>
      </c>
      <c r="S15" s="30">
        <f>SUM(B15*R15)*12</f>
        <v>455191.84027359926</v>
      </c>
      <c r="T15" s="30">
        <v>121622.64</v>
      </c>
      <c r="U15" s="30">
        <f>SUM(S15:T15)</f>
        <v>576814.48027359927</v>
      </c>
      <c r="W15" s="30">
        <f>W14*1.025</f>
        <v>560131.92099682591</v>
      </c>
    </row>
    <row r="16" spans="1:23" ht="15.75" thickBot="1" x14ac:dyDescent="0.3">
      <c r="A16" s="15">
        <v>2023</v>
      </c>
      <c r="B16" s="50">
        <v>3344</v>
      </c>
      <c r="C16" s="51">
        <v>350</v>
      </c>
      <c r="D16" s="6">
        <f t="shared" ref="D16:D18" si="7">(D15*1.03)</f>
        <v>5.4483412238321751</v>
      </c>
      <c r="E16" s="30">
        <f>SUM(B16*D16)*12</f>
        <v>218631.03662993753</v>
      </c>
      <c r="F16" s="30">
        <v>121622.64</v>
      </c>
      <c r="G16" s="30">
        <f>SUM(E16:F16)</f>
        <v>340253.67662993754</v>
      </c>
      <c r="H16" s="21"/>
      <c r="I16" s="48">
        <v>3344</v>
      </c>
      <c r="J16" s="49">
        <v>350</v>
      </c>
      <c r="K16" s="6">
        <f t="shared" ref="K16:K18" si="8">(K15*1.03)</f>
        <v>5.4483412238321751</v>
      </c>
      <c r="L16" s="30">
        <f>SUM(B16*K16)*12</f>
        <v>218631.03662993753</v>
      </c>
      <c r="M16" s="30">
        <v>121622.64</v>
      </c>
      <c r="N16" s="30">
        <f>SUM(L16:M16)</f>
        <v>340253.67662993754</v>
      </c>
      <c r="O16" s="42"/>
      <c r="P16" s="48">
        <v>3344</v>
      </c>
      <c r="Q16" s="49">
        <v>350</v>
      </c>
      <c r="R16" s="6">
        <f t="shared" ref="R16:R18" si="9">(R15*1.03)</f>
        <v>11.683801721536264</v>
      </c>
      <c r="S16" s="30">
        <f>SUM(B16*R16)*12</f>
        <v>468847.59548180719</v>
      </c>
      <c r="T16" s="31">
        <v>121622.64</v>
      </c>
      <c r="U16" s="30">
        <f>SUM(S16:T16)</f>
        <v>590470.23548180715</v>
      </c>
      <c r="W16" s="30">
        <f t="shared" ref="W16:W17" si="10">W15*1.025</f>
        <v>574135.21902174654</v>
      </c>
    </row>
    <row r="17" spans="1:23" ht="15.75" thickBot="1" x14ac:dyDescent="0.3">
      <c r="A17" s="15">
        <v>2024</v>
      </c>
      <c r="B17" s="50">
        <v>3344</v>
      </c>
      <c r="C17" s="51">
        <v>350</v>
      </c>
      <c r="D17" s="6">
        <f t="shared" si="7"/>
        <v>5.6117914605471402</v>
      </c>
      <c r="E17" s="30">
        <f t="shared" ref="E17" si="11">SUM(B17*D17)*12</f>
        <v>225189.96772883565</v>
      </c>
      <c r="F17" s="30">
        <v>121622.64</v>
      </c>
      <c r="G17" s="30">
        <f>SUM(E17:F17)</f>
        <v>346812.60772883566</v>
      </c>
      <c r="H17" s="21"/>
      <c r="I17" s="48">
        <v>3344</v>
      </c>
      <c r="J17" s="49">
        <v>350</v>
      </c>
      <c r="K17" s="6">
        <f t="shared" si="8"/>
        <v>5.6117914605471402</v>
      </c>
      <c r="L17" s="30">
        <f>SUM(B17*K17)*12</f>
        <v>225189.96772883565</v>
      </c>
      <c r="M17" s="30">
        <v>121622.64</v>
      </c>
      <c r="N17" s="30">
        <f>SUM(L17:M17)</f>
        <v>346812.60772883566</v>
      </c>
      <c r="O17" s="42"/>
      <c r="P17" s="48">
        <v>3344</v>
      </c>
      <c r="Q17" s="49">
        <v>350</v>
      </c>
      <c r="R17" s="6">
        <f t="shared" si="9"/>
        <v>12.034315773182353</v>
      </c>
      <c r="S17" s="30">
        <f>SUM(B17*R17)*12</f>
        <v>482913.02334626147</v>
      </c>
      <c r="T17" s="30">
        <v>121622.64</v>
      </c>
      <c r="U17" s="30">
        <f>SUM(S17:T17)</f>
        <v>604535.66334626148</v>
      </c>
      <c r="W17" s="30">
        <f t="shared" si="10"/>
        <v>588488.5994972901</v>
      </c>
    </row>
    <row r="18" spans="1:23" ht="15.75" thickBot="1" x14ac:dyDescent="0.3">
      <c r="A18" s="15">
        <v>2025</v>
      </c>
      <c r="B18" s="50">
        <v>3344</v>
      </c>
      <c r="C18" s="51">
        <v>350</v>
      </c>
      <c r="D18" s="6">
        <f t="shared" si="7"/>
        <v>5.7801452043635546</v>
      </c>
      <c r="E18" s="30"/>
      <c r="F18" s="30"/>
      <c r="G18" s="30">
        <f>SUM(A19:D19)</f>
        <v>0</v>
      </c>
      <c r="H18" s="21"/>
      <c r="I18" s="48">
        <v>3344</v>
      </c>
      <c r="J18" s="49">
        <v>350</v>
      </c>
      <c r="K18" s="6">
        <f t="shared" si="8"/>
        <v>5.7801452043635546</v>
      </c>
      <c r="L18" s="30"/>
      <c r="M18" s="30"/>
      <c r="N18" s="30"/>
      <c r="O18" s="42"/>
      <c r="P18" s="48">
        <v>3344</v>
      </c>
      <c r="Q18" s="49">
        <v>350</v>
      </c>
      <c r="R18" s="6">
        <f t="shared" si="9"/>
        <v>12.395345246377824</v>
      </c>
      <c r="S18" s="30"/>
      <c r="T18" s="30"/>
      <c r="U18" s="30"/>
      <c r="W18" s="81"/>
    </row>
    <row r="19" spans="1:23" ht="15.75" customHeight="1" thickBot="1" x14ac:dyDescent="0.3">
      <c r="A19" s="13"/>
      <c r="B19" s="92"/>
      <c r="C19" s="94"/>
      <c r="D19" s="26" t="s">
        <v>13</v>
      </c>
      <c r="E19" s="35">
        <f>SUM(E14:E18)</f>
        <v>862164.8674549869</v>
      </c>
      <c r="F19" s="3">
        <f>SUM(F14:F18)</f>
        <v>486490.56</v>
      </c>
      <c r="G19" s="32">
        <f>SUM(G14:G18)</f>
        <v>1348655.4274549868</v>
      </c>
      <c r="H19" s="22"/>
      <c r="I19" s="22"/>
      <c r="J19" s="29"/>
      <c r="K19" s="34" t="s">
        <v>13</v>
      </c>
      <c r="L19" s="35">
        <f>SUM(L14:L18)</f>
        <v>862164.8674549869</v>
      </c>
      <c r="M19" s="3">
        <f>SUM(M14:M18)</f>
        <v>486490.56</v>
      </c>
      <c r="N19" s="32">
        <f>SUM(N14:N17)</f>
        <v>1348655.4274549868</v>
      </c>
      <c r="O19" s="43"/>
      <c r="P19" s="43"/>
      <c r="Q19" s="28"/>
      <c r="R19" s="10"/>
      <c r="S19" s="35">
        <f>SUM(S14:S18)</f>
        <v>1848886.2846100167</v>
      </c>
      <c r="T19" s="3">
        <f>SUM(T14:T18)</f>
        <v>486490.56</v>
      </c>
      <c r="U19" s="32">
        <f>SUM(U14:U17)</f>
        <v>2335376.8446100168</v>
      </c>
    </row>
    <row r="20" spans="1:23" ht="36" customHeight="1" thickBot="1" x14ac:dyDescent="0.3">
      <c r="A20" s="13"/>
      <c r="B20" s="92"/>
      <c r="C20" s="94"/>
      <c r="D20" s="27" t="s">
        <v>6</v>
      </c>
      <c r="E20" s="33">
        <f>SUM(E19,E13)</f>
        <v>2976659.4456247101</v>
      </c>
      <c r="F20" s="33">
        <f>SUM(F19,F13)</f>
        <v>2177350.56</v>
      </c>
      <c r="G20" s="33">
        <f>G13+G19</f>
        <v>5604010.0056247097</v>
      </c>
      <c r="H20" s="22"/>
      <c r="I20" s="22"/>
      <c r="J20" s="29"/>
      <c r="K20" s="27" t="s">
        <v>6</v>
      </c>
      <c r="L20" s="33">
        <f>SUM(L19,L13)</f>
        <v>2976659.4456247101</v>
      </c>
      <c r="M20" s="33">
        <f>SUM(M19,M13)</f>
        <v>2177350.56</v>
      </c>
      <c r="N20" s="33">
        <f>SUM(M20,L20)</f>
        <v>5154010.0056247097</v>
      </c>
      <c r="O20" s="43"/>
      <c r="P20" s="43"/>
      <c r="Q20" s="28"/>
      <c r="R20" s="27" t="s">
        <v>6</v>
      </c>
      <c r="S20" s="33">
        <f>SUM(S19,S13)</f>
        <v>3872813.801554977</v>
      </c>
      <c r="T20" s="33">
        <f>SUM(T19,T13)</f>
        <v>1094603.76</v>
      </c>
      <c r="U20" s="33">
        <f>U13+U19</f>
        <v>5417417.5615549767</v>
      </c>
      <c r="V20" s="62"/>
      <c r="W20" s="33">
        <f>SUM(W6:W18)</f>
        <v>4808032.57938891</v>
      </c>
    </row>
    <row r="21" spans="1:23" ht="15.75" customHeight="1" thickBot="1" x14ac:dyDescent="0.3">
      <c r="A21" s="13"/>
      <c r="B21" s="14"/>
      <c r="C21" s="11"/>
      <c r="D21" s="98" t="s">
        <v>7</v>
      </c>
      <c r="E21" s="99"/>
      <c r="F21" s="99"/>
      <c r="G21" s="100"/>
      <c r="H21" s="23"/>
      <c r="I21" s="24"/>
      <c r="J21" s="11"/>
      <c r="K21" s="98" t="s">
        <v>7</v>
      </c>
      <c r="L21" s="101"/>
      <c r="M21" s="101"/>
      <c r="N21" s="102"/>
      <c r="O21" s="44"/>
      <c r="P21" s="44"/>
      <c r="R21" s="98" t="s">
        <v>7</v>
      </c>
      <c r="S21" s="99"/>
      <c r="T21" s="99"/>
      <c r="U21" s="100"/>
    </row>
    <row r="22" spans="1:23" ht="22.5" customHeight="1" thickBot="1" x14ac:dyDescent="0.3">
      <c r="A22" s="13"/>
      <c r="B22" s="14"/>
      <c r="C22" s="11"/>
      <c r="D22" s="89" t="s">
        <v>8</v>
      </c>
      <c r="E22" s="90"/>
      <c r="F22" s="90"/>
      <c r="G22" s="36"/>
      <c r="H22" s="17"/>
      <c r="I22" s="24"/>
      <c r="J22" s="11"/>
      <c r="K22" s="89" t="s">
        <v>8</v>
      </c>
      <c r="L22" s="91"/>
      <c r="M22" s="91"/>
      <c r="N22" s="36"/>
      <c r="O22" s="41"/>
      <c r="P22" s="41"/>
      <c r="R22" s="89" t="s">
        <v>8</v>
      </c>
      <c r="S22" s="91"/>
      <c r="T22" s="91"/>
      <c r="U22" s="36"/>
      <c r="W22" s="82"/>
    </row>
    <row r="23" spans="1:23" ht="23.25" customHeight="1" thickBot="1" x14ac:dyDescent="0.3">
      <c r="A23" s="13"/>
      <c r="B23" s="14"/>
      <c r="C23" s="11"/>
      <c r="D23" s="89" t="s">
        <v>26</v>
      </c>
      <c r="E23" s="90"/>
      <c r="F23" s="90"/>
      <c r="G23" s="36">
        <v>0</v>
      </c>
      <c r="H23" s="17"/>
      <c r="I23" s="24"/>
      <c r="J23" s="11"/>
      <c r="K23" s="89" t="s">
        <v>26</v>
      </c>
      <c r="L23" s="91"/>
      <c r="M23" s="91"/>
      <c r="N23" s="36">
        <v>50000</v>
      </c>
      <c r="O23" s="41"/>
      <c r="P23" s="41"/>
      <c r="R23" s="89" t="s">
        <v>26</v>
      </c>
      <c r="S23" s="90"/>
      <c r="T23" s="90"/>
      <c r="U23" s="36">
        <v>0</v>
      </c>
      <c r="W23" s="83"/>
    </row>
    <row r="24" spans="1:23" ht="15.75" customHeight="1" thickBot="1" x14ac:dyDescent="0.3">
      <c r="A24" s="13"/>
      <c r="B24" s="14"/>
      <c r="C24" s="11"/>
      <c r="D24" s="89" t="s">
        <v>9</v>
      </c>
      <c r="E24" s="90"/>
      <c r="F24" s="90"/>
      <c r="G24" s="36">
        <v>0</v>
      </c>
      <c r="H24" s="17"/>
      <c r="I24" s="24"/>
      <c r="J24" s="11"/>
      <c r="K24" s="89" t="s">
        <v>9</v>
      </c>
      <c r="L24" s="91"/>
      <c r="M24" s="91"/>
      <c r="N24" s="36">
        <v>13652509</v>
      </c>
      <c r="O24" s="41"/>
      <c r="P24" s="41"/>
      <c r="R24" s="89" t="s">
        <v>9</v>
      </c>
      <c r="S24" s="90"/>
      <c r="T24" s="90"/>
      <c r="U24" s="36">
        <v>0</v>
      </c>
      <c r="W24" s="83"/>
    </row>
    <row r="25" spans="1:23" ht="15.75" customHeight="1" thickBot="1" x14ac:dyDescent="0.3">
      <c r="A25" s="13"/>
      <c r="B25" s="14"/>
      <c r="C25" s="11"/>
      <c r="D25" s="89" t="s">
        <v>10</v>
      </c>
      <c r="E25" s="90"/>
      <c r="F25" s="90"/>
      <c r="G25" s="36"/>
      <c r="H25" s="17"/>
      <c r="I25" s="24"/>
      <c r="J25" s="11"/>
      <c r="K25" s="89" t="s">
        <v>10</v>
      </c>
      <c r="L25" s="91"/>
      <c r="M25" s="91"/>
      <c r="N25" s="36">
        <v>0</v>
      </c>
      <c r="O25" s="41"/>
      <c r="P25" s="41"/>
      <c r="R25" s="89" t="s">
        <v>10</v>
      </c>
      <c r="S25" s="90"/>
      <c r="T25" s="90"/>
      <c r="U25" s="36">
        <v>0</v>
      </c>
      <c r="W25" s="83"/>
    </row>
    <row r="26" spans="1:23" ht="15.75" customHeight="1" thickBot="1" x14ac:dyDescent="0.3">
      <c r="A26" s="92"/>
      <c r="B26" s="93"/>
      <c r="C26" s="94"/>
      <c r="D26" s="95" t="s">
        <v>11</v>
      </c>
      <c r="E26" s="96"/>
      <c r="F26" s="96"/>
      <c r="G26" s="37">
        <f>SUM(G22:G25)</f>
        <v>0</v>
      </c>
      <c r="H26" s="4"/>
      <c r="I26" s="4"/>
      <c r="K26" s="95" t="s">
        <v>11</v>
      </c>
      <c r="L26" s="97"/>
      <c r="M26" s="97"/>
      <c r="N26" s="37">
        <f>SUM(N22:N25)</f>
        <v>13702509</v>
      </c>
      <c r="O26" s="41"/>
      <c r="P26" s="41"/>
      <c r="R26" s="95" t="s">
        <v>11</v>
      </c>
      <c r="S26" s="96"/>
      <c r="T26" s="96"/>
      <c r="U26" s="37">
        <f>SUM(U22:U25)</f>
        <v>0</v>
      </c>
      <c r="W26" s="83"/>
    </row>
    <row r="27" spans="1:23" ht="17.25" customHeight="1" thickBot="1" x14ac:dyDescent="0.3">
      <c r="A27" s="86"/>
      <c r="B27" s="87"/>
      <c r="C27" s="88"/>
      <c r="D27" s="38" t="s">
        <v>12</v>
      </c>
      <c r="E27" s="39"/>
      <c r="F27" s="39"/>
      <c r="G27" s="52">
        <f>SUM(G26,G20)</f>
        <v>5604010.0056247097</v>
      </c>
      <c r="H27" s="25"/>
      <c r="I27" s="25"/>
      <c r="J27" s="1"/>
      <c r="K27" s="38" t="s">
        <v>12</v>
      </c>
      <c r="L27" s="39"/>
      <c r="M27" s="39"/>
      <c r="N27" s="52">
        <f>SUM(N26,N20)</f>
        <v>18856519.005624712</v>
      </c>
      <c r="O27" s="45"/>
      <c r="P27" s="45"/>
      <c r="R27" s="38" t="s">
        <v>12</v>
      </c>
      <c r="S27" s="39"/>
      <c r="T27" s="39"/>
      <c r="U27" s="52">
        <f>SUM(U20,U26)</f>
        <v>5417417.5615549767</v>
      </c>
      <c r="V27" s="62"/>
      <c r="W27" s="84">
        <f>W5+W20</f>
        <v>5258032.57938891</v>
      </c>
    </row>
    <row r="28" spans="1:23" ht="15.75" thickBot="1" x14ac:dyDescent="0.3">
      <c r="A28" s="1"/>
      <c r="B28" s="1"/>
      <c r="C28" s="1"/>
      <c r="D28" s="65"/>
      <c r="E28" s="63"/>
      <c r="F28" s="64"/>
      <c r="G28" s="66"/>
      <c r="H28" s="7"/>
      <c r="I28" s="1"/>
      <c r="J28" s="1"/>
    </row>
    <row r="29" spans="1:23" ht="15.75" thickBot="1" x14ac:dyDescent="0.3">
      <c r="D29" s="73" t="s">
        <v>35</v>
      </c>
      <c r="E29" s="74"/>
      <c r="F29" s="74"/>
      <c r="G29" s="75">
        <f>'NPV Calc'!E18</f>
        <v>4672353.4276011167</v>
      </c>
      <c r="H29" s="74"/>
      <c r="I29" s="74"/>
      <c r="J29" s="74"/>
      <c r="K29" s="74"/>
      <c r="L29" s="74"/>
      <c r="M29" s="74"/>
      <c r="N29" s="75">
        <f>'NPV Calc'!F18</f>
        <v>15169581.828505952</v>
      </c>
      <c r="O29" s="74"/>
      <c r="P29" s="74"/>
      <c r="Q29" s="74"/>
      <c r="R29" s="74"/>
      <c r="S29" s="74"/>
      <c r="T29" s="74"/>
      <c r="U29" s="76">
        <f>'NPV Calc'!G18</f>
        <v>4394000.3810319528</v>
      </c>
      <c r="V29" s="60"/>
      <c r="W29" s="76">
        <f>'NPV Calc'!H18</f>
        <v>4264981.3311091047</v>
      </c>
    </row>
    <row r="30" spans="1:23" x14ac:dyDescent="0.25">
      <c r="D30" s="77" t="s">
        <v>33</v>
      </c>
      <c r="E30" s="77"/>
      <c r="F30" s="77"/>
      <c r="G30" s="78">
        <v>0</v>
      </c>
      <c r="H30" s="77"/>
      <c r="I30" s="77"/>
      <c r="J30" s="77"/>
      <c r="K30" s="77"/>
      <c r="L30" s="77"/>
      <c r="M30" s="77"/>
      <c r="N30" s="78">
        <f>N29-G29</f>
        <v>10497228.400904834</v>
      </c>
      <c r="O30" s="77"/>
      <c r="P30" s="77"/>
      <c r="Q30" s="77"/>
      <c r="R30" s="77"/>
      <c r="S30" s="77"/>
      <c r="T30" s="77"/>
      <c r="U30" s="79">
        <f>U29-G29</f>
        <v>-278353.04656916391</v>
      </c>
      <c r="V30" s="60"/>
      <c r="W30" s="79">
        <f>'NPV Calc'!H19</f>
        <v>-407372.09649201203</v>
      </c>
    </row>
    <row r="31" spans="1:23" x14ac:dyDescent="0.25">
      <c r="U31" s="62"/>
    </row>
    <row r="32" spans="1:23" x14ac:dyDescent="0.25">
      <c r="B32" s="58" t="s">
        <v>18</v>
      </c>
      <c r="U32" s="62"/>
    </row>
    <row r="33" spans="2:2" x14ac:dyDescent="0.25">
      <c r="B33" t="s">
        <v>25</v>
      </c>
    </row>
    <row r="34" spans="2:2" x14ac:dyDescent="0.25">
      <c r="B34" s="58" t="s">
        <v>19</v>
      </c>
    </row>
    <row r="35" spans="2:2" x14ac:dyDescent="0.25">
      <c r="B35" t="s">
        <v>20</v>
      </c>
    </row>
    <row r="36" spans="2:2" x14ac:dyDescent="0.25">
      <c r="B36" s="59" t="s">
        <v>24</v>
      </c>
    </row>
    <row r="37" spans="2:2" x14ac:dyDescent="0.25">
      <c r="B37" s="58" t="s">
        <v>21</v>
      </c>
    </row>
    <row r="38" spans="2:2" x14ac:dyDescent="0.25">
      <c r="B38" t="s">
        <v>22</v>
      </c>
    </row>
    <row r="39" spans="2:2" x14ac:dyDescent="0.25">
      <c r="B39" s="59" t="s">
        <v>23</v>
      </c>
    </row>
  </sheetData>
  <mergeCells count="37">
    <mergeCell ref="W2:W3"/>
    <mergeCell ref="R2:U3"/>
    <mergeCell ref="D11:G11"/>
    <mergeCell ref="K11:N11"/>
    <mergeCell ref="R11:U11"/>
    <mergeCell ref="B13:C13"/>
    <mergeCell ref="I13:J13"/>
    <mergeCell ref="P13:Q13"/>
    <mergeCell ref="R5:T5"/>
    <mergeCell ref="A2:A3"/>
    <mergeCell ref="D2:G3"/>
    <mergeCell ref="K2:N3"/>
    <mergeCell ref="D22:F22"/>
    <mergeCell ref="K22:M22"/>
    <mergeCell ref="R22:T22"/>
    <mergeCell ref="D12:F12"/>
    <mergeCell ref="K12:M12"/>
    <mergeCell ref="R12:T12"/>
    <mergeCell ref="B19:C19"/>
    <mergeCell ref="B20:C20"/>
    <mergeCell ref="D21:G21"/>
    <mergeCell ref="K21:N21"/>
    <mergeCell ref="R21:U21"/>
    <mergeCell ref="D23:F23"/>
    <mergeCell ref="K23:M23"/>
    <mergeCell ref="R23:T23"/>
    <mergeCell ref="D24:F24"/>
    <mergeCell ref="K24:M24"/>
    <mergeCell ref="R24:T24"/>
    <mergeCell ref="A27:C27"/>
    <mergeCell ref="D25:F25"/>
    <mergeCell ref="K25:M25"/>
    <mergeCell ref="R25:T25"/>
    <mergeCell ref="A26:C26"/>
    <mergeCell ref="D26:F26"/>
    <mergeCell ref="K26:M26"/>
    <mergeCell ref="R26:T26"/>
  </mergeCells>
  <pageMargins left="0.7" right="0.7" top="0.75" bottom="0.75" header="0.3" footer="0.3"/>
  <pageSetup paperSize="5" scale="67" orientation="landscape" r:id="rId1"/>
  <headerFooter>
    <oddHeader xml:space="preserve">&amp;C&amp;"-,Bold"&amp;20KCIT SABEY DATA CENTER PROPOSAL&amp;"-,Regular"&amp;11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M22"/>
  <sheetViews>
    <sheetView workbookViewId="0">
      <selection activeCell="H7" sqref="H7"/>
    </sheetView>
  </sheetViews>
  <sheetFormatPr defaultRowHeight="15" x14ac:dyDescent="0.25"/>
  <cols>
    <col min="4" max="4" width="16.140625" customWidth="1"/>
    <col min="5" max="5" width="12.5703125" style="60" bestFit="1" customWidth="1"/>
    <col min="6" max="6" width="13.7109375" style="60" bestFit="1" customWidth="1"/>
    <col min="7" max="8" width="14.140625" style="60" customWidth="1"/>
    <col min="9" max="9" width="9.28515625" bestFit="1" customWidth="1"/>
    <col min="10" max="10" width="12.5703125" bestFit="1" customWidth="1"/>
    <col min="11" max="11" width="13.7109375" bestFit="1" customWidth="1"/>
    <col min="12" max="12" width="12.5703125" bestFit="1" customWidth="1"/>
  </cols>
  <sheetData>
    <row r="5" spans="4:9" x14ac:dyDescent="0.25">
      <c r="E5" s="60" t="s">
        <v>27</v>
      </c>
      <c r="F5" s="60" t="s">
        <v>28</v>
      </c>
      <c r="G5" s="60" t="s">
        <v>29</v>
      </c>
      <c r="H5" s="60" t="s">
        <v>37</v>
      </c>
    </row>
    <row r="6" spans="4:9" x14ac:dyDescent="0.25">
      <c r="D6" s="15">
        <v>2016</v>
      </c>
      <c r="E6" s="60">
        <v>736446.72</v>
      </c>
      <c r="F6" s="60">
        <v>736446.72</v>
      </c>
      <c r="G6" s="60">
        <f>502838.64+450000</f>
        <v>952838.64</v>
      </c>
      <c r="H6" s="60">
        <f>'SABEY (3)'!W5+'SABEY (3)'!W6</f>
        <v>933000</v>
      </c>
      <c r="I6" t="s">
        <v>38</v>
      </c>
    </row>
    <row r="7" spans="4:9" x14ac:dyDescent="0.25">
      <c r="D7" s="15">
        <v>2017</v>
      </c>
      <c r="E7" s="60">
        <v>748394.96160000004</v>
      </c>
      <c r="F7" s="60">
        <v>748394.96160000004</v>
      </c>
      <c r="G7" s="60">
        <v>514275.12</v>
      </c>
      <c r="H7" s="60">
        <f>'SABEY (3)'!W7</f>
        <v>495074.99999999994</v>
      </c>
    </row>
    <row r="8" spans="4:9" x14ac:dyDescent="0.25">
      <c r="D8" s="15">
        <v>2018</v>
      </c>
      <c r="E8" s="60">
        <v>760701.65044800006</v>
      </c>
      <c r="F8" s="60">
        <v>760701.65044800006</v>
      </c>
      <c r="G8" s="60">
        <v>526054.69439999992</v>
      </c>
      <c r="H8" s="60">
        <f>'SABEY (3)'!W8</f>
        <v>507451.87499999988</v>
      </c>
    </row>
    <row r="9" spans="4:9" x14ac:dyDescent="0.25">
      <c r="D9" s="15">
        <v>2019</v>
      </c>
      <c r="E9" s="60">
        <v>773377.53996143991</v>
      </c>
      <c r="F9" s="60">
        <v>773377.53996143991</v>
      </c>
      <c r="G9" s="60">
        <v>538187.65603199997</v>
      </c>
      <c r="H9" s="60">
        <f>'SABEY (3)'!W9</f>
        <v>520138.17187499983</v>
      </c>
    </row>
    <row r="10" spans="4:9" x14ac:dyDescent="0.25">
      <c r="D10" s="15">
        <v>2020</v>
      </c>
      <c r="E10" s="60">
        <f>786433.706160283+450000</f>
        <v>1236433.7061602829</v>
      </c>
      <c r="F10" s="60">
        <f>786433.706160283+'SABEY (3)'!N24+'SABEY (3)'!N23</f>
        <v>14488942.706160283</v>
      </c>
      <c r="G10" s="60">
        <v>550684.60651295993</v>
      </c>
      <c r="H10" s="60">
        <f>'SABEY (3)'!W10</f>
        <v>533141.62617187481</v>
      </c>
      <c r="I10" t="s">
        <v>36</v>
      </c>
    </row>
    <row r="11" spans="4:9" x14ac:dyDescent="0.25">
      <c r="D11" s="15">
        <v>2021</v>
      </c>
      <c r="E11" s="60">
        <v>327703.36073705112</v>
      </c>
      <c r="F11" s="60">
        <v>327703.36073705112</v>
      </c>
      <c r="G11" s="60">
        <v>563556.46550834877</v>
      </c>
      <c r="H11" s="60">
        <f>'SABEY (3)'!W14</f>
        <v>546470.16682617168</v>
      </c>
    </row>
    <row r="12" spans="4:9" x14ac:dyDescent="0.25">
      <c r="D12" s="15">
        <v>2022</v>
      </c>
      <c r="E12" s="60">
        <v>333885.78235916264</v>
      </c>
      <c r="F12" s="60">
        <v>333885.78235916264</v>
      </c>
      <c r="G12" s="60">
        <v>576814.48027359927</v>
      </c>
      <c r="H12" s="60">
        <f>'SABEY (3)'!W15</f>
        <v>560131.92099682591</v>
      </c>
    </row>
    <row r="13" spans="4:9" x14ac:dyDescent="0.25">
      <c r="D13" s="15">
        <v>2023</v>
      </c>
      <c r="E13" s="60">
        <v>340253.67662993754</v>
      </c>
      <c r="F13" s="60">
        <v>340253.67662993754</v>
      </c>
      <c r="G13" s="60">
        <v>590470.23548180715</v>
      </c>
      <c r="H13" s="60">
        <f>'SABEY (3)'!W16</f>
        <v>574135.21902174654</v>
      </c>
    </row>
    <row r="14" spans="4:9" x14ac:dyDescent="0.25">
      <c r="D14" s="15">
        <v>2024</v>
      </c>
      <c r="E14" s="60">
        <v>346812.60772883566</v>
      </c>
      <c r="F14" s="60">
        <v>346812.60772883566</v>
      </c>
      <c r="G14" s="60">
        <v>604535.66334626148</v>
      </c>
      <c r="H14" s="60">
        <f>'SABEY (3)'!W17</f>
        <v>588488.5994972901</v>
      </c>
    </row>
    <row r="15" spans="4:9" x14ac:dyDescent="0.25">
      <c r="D15" s="15"/>
    </row>
    <row r="16" spans="4:9" x14ac:dyDescent="0.25">
      <c r="D16" t="s">
        <v>31</v>
      </c>
      <c r="E16" s="60">
        <f>SUM(E6:E14)</f>
        <v>5604010.0056247097</v>
      </c>
      <c r="F16" s="60">
        <f>SUM(F6:F14)</f>
        <v>18856519.005624712</v>
      </c>
      <c r="G16" s="60">
        <f>SUM(G6:G14)</f>
        <v>5417417.5615549767</v>
      </c>
      <c r="H16" s="60">
        <f>SUM(H6:H14)</f>
        <v>5258032.57938891</v>
      </c>
    </row>
    <row r="17" spans="4:13" ht="45.75" thickBot="1" x14ac:dyDescent="0.3">
      <c r="D17" s="69" t="s">
        <v>34</v>
      </c>
      <c r="E17" s="68">
        <v>0.06</v>
      </c>
      <c r="F17" s="68">
        <v>0.06</v>
      </c>
      <c r="G17" s="68">
        <f>F17</f>
        <v>0.06</v>
      </c>
      <c r="H17" s="68">
        <f>G17</f>
        <v>0.06</v>
      </c>
    </row>
    <row r="18" spans="4:13" ht="15.75" thickBot="1" x14ac:dyDescent="0.3">
      <c r="D18" s="70" t="s">
        <v>30</v>
      </c>
      <c r="E18" s="71">
        <f>NPV(E17,E7,E8,E9,E10,E11,E12,E13,E14)+E6</f>
        <v>4672353.4276011167</v>
      </c>
      <c r="F18" s="71">
        <f>NPV(E17,F7,F8,F9,F10,F11,F12,F13,F14)+F6</f>
        <v>15169581.828505952</v>
      </c>
      <c r="G18" s="72">
        <f>NPV(E17,G7,G8,G9,G10,G11,G12,G13,G14)+G6</f>
        <v>4394000.3810319528</v>
      </c>
      <c r="H18" s="72">
        <f>NPV(F17,H7,H8,H9,H10,H11,H12,H13,H14)+H6</f>
        <v>4264981.3311091047</v>
      </c>
      <c r="I18" s="61"/>
      <c r="J18" s="60"/>
      <c r="K18" s="60"/>
      <c r="L18" s="60"/>
      <c r="M18" s="61"/>
    </row>
    <row r="19" spans="4:13" ht="31.15" customHeight="1" x14ac:dyDescent="0.25">
      <c r="D19" s="69" t="s">
        <v>32</v>
      </c>
      <c r="F19" s="60">
        <f>F18-E18</f>
        <v>10497228.400904834</v>
      </c>
      <c r="G19" s="60">
        <f>G18-E18</f>
        <v>-278353.04656916391</v>
      </c>
      <c r="H19" s="60">
        <f>H18-E18</f>
        <v>-407372.09649201203</v>
      </c>
      <c r="L19" s="61"/>
    </row>
    <row r="22" spans="4:13" x14ac:dyDescent="0.25">
      <c r="E22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SABEY (3)</vt:lpstr>
      <vt:lpstr>NPV Calc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I-Porter, Shenon L</dc:creator>
  <cp:lastModifiedBy>Daly, Sharon</cp:lastModifiedBy>
  <cp:lastPrinted>2016-11-28T23:01:52Z</cp:lastPrinted>
  <dcterms:created xsi:type="dcterms:W3CDTF">2015-08-05T20:17:44Z</dcterms:created>
  <dcterms:modified xsi:type="dcterms:W3CDTF">2016-11-28T23:03:06Z</dcterms:modified>
</cp:coreProperties>
</file>