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65" windowWidth="9375" windowHeight="4245" activeTab="0"/>
  </bookViews>
  <sheets>
    <sheet name="Fiscal Note" sheetId="1" r:id="rId1"/>
    <sheet name="Sheet1" sheetId="2" state="hidden" r:id="rId2"/>
    <sheet name="Personnel Costs" sheetId="3" state="hidden" r:id="rId3"/>
  </sheets>
  <externalReferences>
    <externalReference r:id="rId6"/>
  </externalReferences>
  <definedNames>
    <definedName name="_xlnm.Print_Area" localSheetId="0">'Fiscal Note'!$A$1:$G$66</definedName>
  </definedNames>
  <calcPr fullCalcOnLoad="1"/>
</workbook>
</file>

<file path=xl/comments2.xml><?xml version="1.0" encoding="utf-8"?>
<comments xmlns="http://schemas.openxmlformats.org/spreadsheetml/2006/main">
  <authors>
    <author>Bauck, Andrew</author>
  </authors>
  <commentList>
    <comment ref="O23" authorId="0">
      <text>
        <r>
          <rPr>
            <b/>
            <sz val="9"/>
            <rFont val="Tahoma"/>
            <family val="2"/>
          </rPr>
          <t>Bauck, Andrew:</t>
        </r>
        <r>
          <rPr>
            <sz val="9"/>
            <rFont val="Tahoma"/>
            <family val="2"/>
          </rPr>
          <t xml:space="preserve">
Dwight wants to see these by category (felony/misd/etc.) and phase-out date.</t>
        </r>
      </text>
    </comment>
  </commentList>
</comments>
</file>

<file path=xl/comments3.xml><?xml version="1.0" encoding="utf-8"?>
<comments xmlns="http://schemas.openxmlformats.org/spreadsheetml/2006/main">
  <authors>
    <author>Bauck, Andrew</author>
  </authors>
  <commentList>
    <comment ref="C6" authorId="0">
      <text>
        <r>
          <rPr>
            <b/>
            <sz val="9"/>
            <rFont val="Tahoma"/>
            <family val="2"/>
          </rPr>
          <t>Bauck, Andrew:</t>
        </r>
        <r>
          <rPr>
            <sz val="9"/>
            <rFont val="Tahoma"/>
            <family val="2"/>
          </rPr>
          <t xml:space="preserve">
6.00=Reception
0.50=ROYAL
2.00=Finance/Admin?
</t>
        </r>
      </text>
    </comment>
    <comment ref="C18" authorId="0">
      <text>
        <r>
          <rPr>
            <b/>
            <sz val="9"/>
            <rFont val="Tahoma"/>
            <family val="2"/>
          </rPr>
          <t>Bauck, Andrew:</t>
        </r>
        <r>
          <rPr>
            <sz val="9"/>
            <rFont val="Tahoma"/>
            <family val="2"/>
          </rPr>
          <t xml:space="preserve">
1.00=ROYAL
2.00=Finance/Admin?</t>
        </r>
      </text>
    </comment>
  </commentList>
</comments>
</file>

<file path=xl/sharedStrings.xml><?xml version="1.0" encoding="utf-8"?>
<sst xmlns="http://schemas.openxmlformats.org/spreadsheetml/2006/main" count="298" uniqueCount="229">
  <si>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</si>
  <si>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</si>
  <si>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</si>
  <si>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</si>
  <si>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</si>
  <si>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</si>
  <si>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</si>
  <si>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</si>
  <si>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</si>
  <si>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</si>
  <si>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</si>
  <si>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</si>
  <si>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</si>
  <si>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</si>
  <si>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</si>
  <si>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</si>
  <si>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</si>
  <si>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</si>
  <si>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</si>
  <si>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</si>
  <si>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</si>
  <si>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</si>
  <si>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t>Adopted 2015-2016</t>
  </si>
  <si>
    <t>Type</t>
  </si>
  <si>
    <t>County Class</t>
  </si>
  <si>
    <t>FTEs</t>
  </si>
  <si>
    <t>AVG. Sal</t>
  </si>
  <si>
    <t>2015 COLA</t>
  </si>
  <si>
    <t>Total 2015 COLA</t>
  </si>
  <si>
    <t>FICA</t>
  </si>
  <si>
    <t>PERS</t>
  </si>
  <si>
    <t>Flex</t>
  </si>
  <si>
    <t>ind. Ins</t>
  </si>
  <si>
    <t>Total annual per FTE (w/o COLA)</t>
  </si>
  <si>
    <t>2015 Total budget</t>
  </si>
  <si>
    <t>2015 Per FTE</t>
  </si>
  <si>
    <t>2016 AVG. Sal</t>
  </si>
  <si>
    <t>2016 COLA Amount</t>
  </si>
  <si>
    <t>2016 Total COLA</t>
  </si>
  <si>
    <t>Total annual per FTE</t>
  </si>
  <si>
    <t>2016 Total budget</t>
  </si>
  <si>
    <t>2016 Per FTE</t>
  </si>
  <si>
    <t>Biennium</t>
  </si>
  <si>
    <t>2015/2016 Per FTE</t>
  </si>
  <si>
    <t>ADO FTEs</t>
  </si>
  <si>
    <t>FTE Adds</t>
  </si>
  <si>
    <t>TLT Adds 2015</t>
  </si>
  <si>
    <t>TLT Adds mid-2016</t>
  </si>
  <si>
    <t>COLA on added positions</t>
  </si>
  <si>
    <t>Admin</t>
  </si>
  <si>
    <t>Administrative Specialist II</t>
  </si>
  <si>
    <t>Business &amp; Finance Officer</t>
  </si>
  <si>
    <t>Communications Specialist II</t>
  </si>
  <si>
    <t>Confidential Secretary I</t>
  </si>
  <si>
    <t>Confidential Secretary II</t>
  </si>
  <si>
    <t>Fiscal Specialist II</t>
  </si>
  <si>
    <t>Fiscal Specialist III</t>
  </si>
  <si>
    <t>Human Resource Analyst</t>
  </si>
  <si>
    <t>Human Resource Analyst- Senior</t>
  </si>
  <si>
    <t>Legal Administrative Spec II</t>
  </si>
  <si>
    <t>Legal Advisor,Ofc Pub Defender</t>
  </si>
  <si>
    <t>Office Manager</t>
  </si>
  <si>
    <t>Project/Program Manager II</t>
  </si>
  <si>
    <t>Public Defense Coordinator</t>
  </si>
  <si>
    <t>Public Defense Interviewer</t>
  </si>
  <si>
    <t>Total Admin</t>
  </si>
  <si>
    <t>Case</t>
  </si>
  <si>
    <t>Attorney</t>
  </si>
  <si>
    <t>Attorney Supervisor</t>
  </si>
  <si>
    <t>Investigator</t>
  </si>
  <si>
    <t>Legal Assistant</t>
  </si>
  <si>
    <t>Mitigation Specialist</t>
  </si>
  <si>
    <t>Paralegal</t>
  </si>
  <si>
    <t>Total Case</t>
  </si>
  <si>
    <t>Management</t>
  </si>
  <si>
    <t>Deputy Dir., Public Defense</t>
  </si>
  <si>
    <t>Dir. Public Defense</t>
  </si>
  <si>
    <t>Div. Director</t>
  </si>
  <si>
    <t>Case Area Directors</t>
  </si>
  <si>
    <t>Managing Attorneys</t>
  </si>
  <si>
    <t>Finance and Admin Services Mgr</t>
  </si>
  <si>
    <t>HR Services Delivery Mgr. II</t>
  </si>
  <si>
    <t>Project/Program Manager III</t>
  </si>
  <si>
    <t>Special Projects Manager III</t>
  </si>
  <si>
    <t>Total Management</t>
  </si>
  <si>
    <t>Report</t>
  </si>
  <si>
    <t xml:space="preserve">Total </t>
  </si>
  <si>
    <t>Re-org</t>
  </si>
  <si>
    <t>2015/16 DPD Supplemental</t>
  </si>
  <si>
    <t>Report recommended ( D )</t>
  </si>
  <si>
    <t>Case area</t>
  </si>
  <si>
    <t>Current ( B )</t>
  </si>
  <si>
    <t>Adopted ( C )</t>
  </si>
  <si>
    <t>Adopted Cost</t>
  </si>
  <si>
    <t>FTE</t>
  </si>
  <si>
    <t>$</t>
  </si>
  <si>
    <t>TLTs ending 12/31/15</t>
  </si>
  <si>
    <t>TLTs ending 6/30/16</t>
  </si>
  <si>
    <t>Reorg ( E )</t>
  </si>
  <si>
    <t>Total ( C+D+E)</t>
  </si>
  <si>
    <t>% of Admin to Direct Service</t>
  </si>
  <si>
    <t xml:space="preserve">TLT Phase out </t>
  </si>
  <si>
    <t>DPD After Phase Out</t>
  </si>
  <si>
    <t>Total Ongoing</t>
  </si>
  <si>
    <t>Vacant or Excess</t>
  </si>
  <si>
    <t>Attorneys</t>
  </si>
  <si>
    <t>Felony</t>
  </si>
  <si>
    <t>Complex</t>
  </si>
  <si>
    <t>Misdemeanor</t>
  </si>
  <si>
    <t>Juvenile</t>
  </si>
  <si>
    <t>ITA</t>
  </si>
  <si>
    <t>Dependency</t>
  </si>
  <si>
    <t>Becca</t>
  </si>
  <si>
    <t>Adult Drug Court</t>
  </si>
  <si>
    <t>Mental health Court</t>
  </si>
  <si>
    <t>Contempt of court</t>
  </si>
  <si>
    <t>Expedited</t>
  </si>
  <si>
    <t>Felony Calendar</t>
  </si>
  <si>
    <t>Misdemeanor Calendar</t>
  </si>
  <si>
    <t>Juvenile and dependency Calendar</t>
  </si>
  <si>
    <t>Vacant Positions begin 10/1/15</t>
  </si>
  <si>
    <t>County</t>
  </si>
  <si>
    <t>SMC</t>
  </si>
  <si>
    <t>SOC</t>
  </si>
  <si>
    <t>Total Attorneys</t>
  </si>
  <si>
    <t>Attorney Supervisors</t>
  </si>
  <si>
    <t>Legal Clerical</t>
  </si>
  <si>
    <t>Excess Legal Clerical through 9/30/15</t>
  </si>
  <si>
    <t>Caseload Support</t>
  </si>
  <si>
    <t>ROYAL</t>
  </si>
  <si>
    <t>Screening &amp; Case Assignment</t>
  </si>
  <si>
    <t>Total Case load &amp; Direct Service staff</t>
  </si>
  <si>
    <t>Case Assignment  &amp; Data Analysis</t>
  </si>
  <si>
    <t>Finance and Admin Service</t>
  </si>
  <si>
    <t>Human Resources</t>
  </si>
  <si>
    <t>Dept. Director</t>
  </si>
  <si>
    <t>Deputy Director</t>
  </si>
  <si>
    <t>Legal Advisor</t>
  </si>
  <si>
    <t>Admin. Services Manager</t>
  </si>
  <si>
    <t>Communication Specialist</t>
  </si>
  <si>
    <t>Case area Directors</t>
  </si>
  <si>
    <t>Division Directors</t>
  </si>
  <si>
    <t>Assistant Div. Directors</t>
  </si>
  <si>
    <t>Confidential Secretaries I</t>
  </si>
  <si>
    <t>Office Managers</t>
  </si>
  <si>
    <t>Reception</t>
  </si>
  <si>
    <t>Vacant positions begin 10/1/15</t>
  </si>
  <si>
    <t>Total</t>
  </si>
  <si>
    <t>Adopted with COLA</t>
  </si>
  <si>
    <t>Central costs</t>
  </si>
  <si>
    <t>Supplies and services</t>
  </si>
  <si>
    <t>AC/Expert</t>
  </si>
  <si>
    <t>Increase From Adopted</t>
  </si>
  <si>
    <t>Phase out TLTs</t>
  </si>
  <si>
    <t>Net Increase (supplemental)</t>
  </si>
  <si>
    <t>Increase From Current</t>
  </si>
  <si>
    <t>Supplemental Summary</t>
  </si>
  <si>
    <t>Adopted</t>
  </si>
  <si>
    <t>Report Adds</t>
  </si>
  <si>
    <t>Reorg Adds</t>
  </si>
  <si>
    <t>Unbudgeted COLA</t>
  </si>
  <si>
    <t>Total Labor Costs (no COLA)</t>
  </si>
  <si>
    <t>COLA</t>
  </si>
  <si>
    <t>Other budget items (vacancy factor, etc)</t>
  </si>
  <si>
    <t>Total Budget</t>
  </si>
  <si>
    <t>Total Adopted</t>
  </si>
  <si>
    <t>Supplemental</t>
  </si>
  <si>
    <t>Additional ITA Revenue</t>
  </si>
  <si>
    <t>Vacancy Factor</t>
  </si>
  <si>
    <t>Vets</t>
  </si>
  <si>
    <t>GF Appropriation</t>
  </si>
  <si>
    <t>MIDD Appropriation</t>
  </si>
  <si>
    <t>Total Appropriation</t>
  </si>
  <si>
    <t>2015 w/ COLA</t>
  </si>
  <si>
    <t>2016 w/ COLA</t>
  </si>
  <si>
    <t>9 months vacancy</t>
  </si>
  <si>
    <t>Subtotal (Attorneys)</t>
  </si>
  <si>
    <t>9 months existing clerical</t>
  </si>
  <si>
    <t>Subtotal (Caseload Support)</t>
  </si>
  <si>
    <t>Subtotal (ROYAL)</t>
  </si>
  <si>
    <t>Subtotal Admin</t>
  </si>
  <si>
    <t>Subtotal Unbudgeted COLA</t>
  </si>
  <si>
    <t>GF FTEs</t>
  </si>
  <si>
    <t>MIDD FTEs</t>
  </si>
  <si>
    <t>Supp</t>
  </si>
  <si>
    <t>GF Total</t>
  </si>
  <si>
    <t>2015 amount-FTEs</t>
  </si>
  <si>
    <t>2015 amount-TLTs ending 12/31/15</t>
  </si>
  <si>
    <t>2016-FTEs</t>
  </si>
  <si>
    <t>2016 Amount-TLTs ending 6/30/16</t>
  </si>
  <si>
    <t>2015 amount-TLTs ending 6/30/16</t>
  </si>
  <si>
    <t>Prof Staff</t>
  </si>
  <si>
    <t>Atty Supervisors</t>
  </si>
  <si>
    <t>Clerical</t>
  </si>
  <si>
    <t>2015 amount-TOTAL</t>
  </si>
  <si>
    <t>2016 amount-TOTAL</t>
  </si>
  <si>
    <t>9 months vacancy Admin</t>
  </si>
  <si>
    <t>DPD Supplemental</t>
  </si>
  <si>
    <t>Department of Public Defense</t>
  </si>
  <si>
    <t>Andrew Bauck</t>
  </si>
  <si>
    <t>A95000</t>
  </si>
  <si>
    <t xml:space="preserve">TLTs </t>
  </si>
  <si>
    <t>2015/16 Cost of position adds recommended by the in the Report of the King County Public Defense Work Group:</t>
  </si>
  <si>
    <t>FTE Cost</t>
  </si>
  <si>
    <t>TLT Cost</t>
  </si>
  <si>
    <t>Professional Staff</t>
  </si>
  <si>
    <t>Confidential Secretaries</t>
  </si>
  <si>
    <t>Caseload and Direct Service Subtotal</t>
  </si>
  <si>
    <t>Administration Subtotal</t>
  </si>
  <si>
    <t>unbudgeted cola</t>
  </si>
  <si>
    <t>9 Months Reduction for Vacant Positions</t>
  </si>
  <si>
    <t>9 Months Funding for Eliminated Positions</t>
  </si>
  <si>
    <r>
      <t xml:space="preserve">Does this legislation require a budget supplemental? </t>
    </r>
    <r>
      <rPr>
        <sz val="10.5"/>
        <rFont val="Univers"/>
        <family val="0"/>
      </rPr>
      <t>Yes</t>
    </r>
  </si>
  <si>
    <t>RSN</t>
  </si>
  <si>
    <t>Dwight Dively</t>
  </si>
  <si>
    <t>This supplemental request will fund Department of Public Defense staffing needs identified by the Report of the King County Public Defense Work Group as requested in the 2015/2016 Biennial Budget Ordinance 17941, Section 18, P3, and a salary COLA for DPD staff that was not included in the 2015/2016 Biennial Budget.</t>
  </si>
  <si>
    <r>
      <rPr>
        <vertAlign val="superscript"/>
        <sz val="10.5"/>
        <rFont val="Univers"/>
        <family val="0"/>
      </rPr>
      <t>1</t>
    </r>
    <r>
      <rPr>
        <sz val="10.5"/>
        <rFont val="Univers"/>
        <family val="0"/>
      </rPr>
      <t xml:space="preserve"> Although they do not have a settled labor agreement, the 2014 COLA agreement was extended to DPD employees. However, COLA for DPD employees was not included in the 2015/2016 Biennial Budget. </t>
    </r>
  </si>
  <si>
    <r>
      <rPr>
        <vertAlign val="superscript"/>
        <sz val="10.5"/>
        <rFont val="Univers"/>
        <family val="0"/>
      </rPr>
      <t>2</t>
    </r>
    <r>
      <rPr>
        <sz val="10.5"/>
        <rFont val="Univers"/>
        <family val="0"/>
      </rPr>
      <t xml:space="preserve"> COLA is inflated by the rates of 5.1% for 2017/2018 and 5.8% for 2019/2020 as projected by PSB. </t>
    </r>
  </si>
  <si>
    <r>
      <t>COLA for existing employees omitted from 2015/2016 Budget</t>
    </r>
    <r>
      <rPr>
        <vertAlign val="superscript"/>
        <sz val="10.5"/>
        <rFont val="Univers"/>
        <family val="0"/>
      </rPr>
      <t>1, 2</t>
    </r>
  </si>
  <si>
    <r>
      <t>Salary, taxes, and benefits for net increase of 21.50 FTEs</t>
    </r>
    <r>
      <rPr>
        <vertAlign val="superscript"/>
        <sz val="10.5"/>
        <rFont val="Univers"/>
        <family val="0"/>
      </rPr>
      <t>3</t>
    </r>
  </si>
  <si>
    <r>
      <rPr>
        <vertAlign val="superscript"/>
        <sz val="10.5"/>
        <rFont val="Univers"/>
        <family val="0"/>
      </rPr>
      <t>3</t>
    </r>
    <r>
      <rPr>
        <sz val="10.5"/>
        <rFont val="Univers"/>
        <family val="0"/>
      </rPr>
      <t xml:space="preserve"> Ongoing labor costs are inflated by the blended labor rates of 7.1% for 2017/2018 and 7.7% for 2019/2020 as projected by PSB. </t>
    </r>
  </si>
  <si>
    <r>
      <t>Salary, taxes, and benefits for 20.00 TLTs</t>
    </r>
    <r>
      <rPr>
        <vertAlign val="superscript"/>
        <sz val="10.5"/>
        <rFont val="Univers"/>
        <family val="0"/>
      </rPr>
      <t>4</t>
    </r>
  </si>
  <si>
    <r>
      <rPr>
        <vertAlign val="superscript"/>
        <sz val="10.5"/>
        <rFont val="Univers"/>
        <family val="0"/>
      </rPr>
      <t>4</t>
    </r>
    <r>
      <rPr>
        <sz val="10.5"/>
        <rFont val="Univers"/>
        <family val="0"/>
      </rPr>
      <t xml:space="preserve"> 7.00 TLTs are planned to expire on 12/31/2015 and the remaining 13.00 will expire on 6/30/2015</t>
    </r>
  </si>
  <si>
    <r>
      <rPr>
        <vertAlign val="superscript"/>
        <sz val="10.5"/>
        <rFont val="Univers"/>
        <family val="0"/>
      </rPr>
      <t>5</t>
    </r>
    <r>
      <rPr>
        <sz val="10.5"/>
        <rFont val="Univers"/>
        <family val="0"/>
      </rPr>
      <t xml:space="preserve"> 9 months of funding is removed for 4.00 new attorney positions and 7.00 case area director positions that are currently vacant. In addition, adjustments are made to various management positions that will be funded for a partial year in 2015.</t>
    </r>
  </si>
  <si>
    <r>
      <t>Reduction for currently vacant positions</t>
    </r>
    <r>
      <rPr>
        <vertAlign val="superscript"/>
        <sz val="10.5"/>
        <rFont val="Univers"/>
        <family val="0"/>
      </rPr>
      <t>5</t>
    </r>
  </si>
  <si>
    <r>
      <t>Partial year funding for eliminated existing positions</t>
    </r>
    <r>
      <rPr>
        <vertAlign val="superscript"/>
        <sz val="10.5"/>
        <rFont val="Univers"/>
        <family val="0"/>
      </rPr>
      <t>6</t>
    </r>
  </si>
  <si>
    <r>
      <rPr>
        <vertAlign val="superscript"/>
        <sz val="10.5"/>
        <rFont val="Univers"/>
        <family val="0"/>
      </rPr>
      <t>6</t>
    </r>
    <r>
      <rPr>
        <sz val="10.5"/>
        <rFont val="Univers"/>
        <family val="0"/>
      </rPr>
      <t xml:space="preserve"> 9 months of funding is added for 3.21 currently existing clerical positions that are above the level of clerical support described in the report's recommendation.</t>
    </r>
  </si>
  <si>
    <r>
      <rPr>
        <vertAlign val="superscript"/>
        <sz val="10.5"/>
        <rFont val="Univers"/>
        <family val="0"/>
      </rPr>
      <t>7</t>
    </r>
    <r>
      <rPr>
        <sz val="10.5"/>
        <rFont val="Univers"/>
        <family val="0"/>
      </rPr>
      <t xml:space="preserve"> Revenue for reimbursement from the Regional Support Network for increased Involuntary Treatment Court defense costs. </t>
    </r>
  </si>
  <si>
    <r>
      <t>Department of Public Defense</t>
    </r>
    <r>
      <rPr>
        <vertAlign val="superscript"/>
        <sz val="10.5"/>
        <rFont val="Univers"/>
        <family val="0"/>
      </rPr>
      <t>7</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</si>
</sst>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_(* #,##0.0000_);_(* \(#,##0.0000\);_(* &quot;-&quot;????_);_(@_)"/>
    <numFmt numFmtId="170" formatCode="0.000"/>
    <numFmt numFmtId="171" formatCode="0.0000"/>
  </numFmts>
  <fonts count="5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sz val="9"/>
      <name val="Tahoma"/>
      <family val="2"/>
    </font>
    <font>
      <sz val="9"/>
      <name val="Tahoma"/>
      <family val="2"/>
    </font>
    <font>
      <b/>
      <i/>
      <sz val="10.5"/>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Calibri"/>
      <family val="2"/>
    </font>
    <font>
      <b/>
      <sz val="9"/>
      <color indexed="8"/>
      <name val="Arial"/>
      <family val="2"/>
    </font>
    <font>
      <sz val="9"/>
      <color indexed="8"/>
      <name val="Arial"/>
      <family val="2"/>
    </font>
    <font>
      <b/>
      <sz val="11"/>
      <color indexed="8"/>
      <name val="Arial"/>
      <family val="2"/>
    </font>
    <font>
      <b/>
      <sz val="12"/>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9"/>
      <color theme="1"/>
      <name val="Arial"/>
      <family val="2"/>
    </font>
    <font>
      <sz val="9"/>
      <color theme="1"/>
      <name val="Arial"/>
      <family val="2"/>
    </font>
    <font>
      <b/>
      <sz val="11"/>
      <color theme="1"/>
      <name val="Arial"/>
      <family val="2"/>
    </font>
    <font>
      <b/>
      <sz val="12"/>
      <color theme="1"/>
      <name val="Arial"/>
      <family val="2"/>
    </font>
    <font>
      <sz val="9"/>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medium"/>
      <right/>
      <top/>
      <bottom/>
    </border>
    <border>
      <left style="thin"/>
      <right/>
      <top style="thin"/>
      <bottom/>
    </border>
    <border>
      <left style="thin">
        <color rgb="FFABABAB"/>
      </left>
      <right style="thin">
        <color rgb="FFABABAB"/>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0" fontId="8" fillId="0" borderId="0" xfId="0" applyFont="1" applyAlignment="1">
      <alignment horizontal="centerContinuous"/>
    </xf>
    <xf numFmtId="167" fontId="52" fillId="0" borderId="0" xfId="42" applyNumberFormat="1" applyFont="1" applyBorder="1" applyAlignment="1">
      <alignment horizontal="center"/>
    </xf>
    <xf numFmtId="167" fontId="0" fillId="0" borderId="0" xfId="42" applyNumberFormat="1" applyFont="1" applyAlignment="1">
      <alignment/>
    </xf>
    <xf numFmtId="167" fontId="0" fillId="0" borderId="0" xfId="0" applyNumberFormat="1" applyAlignment="1">
      <alignment/>
    </xf>
    <xf numFmtId="43" fontId="0" fillId="0" borderId="0" xfId="0" applyNumberFormat="1" applyAlignment="1">
      <alignment/>
    </xf>
    <xf numFmtId="0" fontId="53" fillId="0" borderId="0" xfId="0" applyFont="1" applyBorder="1" applyAlignment="1">
      <alignment wrapText="1"/>
    </xf>
    <xf numFmtId="0" fontId="54" fillId="0" borderId="0" xfId="0" applyFont="1" applyBorder="1" applyAlignment="1">
      <alignment wrapText="1"/>
    </xf>
    <xf numFmtId="43" fontId="50" fillId="0" borderId="40" xfId="42" applyNumberFormat="1" applyFont="1" applyBorder="1" applyAlignment="1">
      <alignment wrapText="1"/>
    </xf>
    <xf numFmtId="167" fontId="50" fillId="0" borderId="0" xfId="42" applyNumberFormat="1" applyFont="1" applyBorder="1" applyAlignment="1">
      <alignment wrapText="1"/>
    </xf>
    <xf numFmtId="167" fontId="50" fillId="0" borderId="41" xfId="42" applyNumberFormat="1" applyFont="1" applyBorder="1" applyAlignment="1">
      <alignment wrapText="1"/>
    </xf>
    <xf numFmtId="167" fontId="0" fillId="0" borderId="0" xfId="0" applyNumberFormat="1" applyAlignment="1">
      <alignment wrapText="1"/>
    </xf>
    <xf numFmtId="43" fontId="0" fillId="0" borderId="0" xfId="0" applyNumberFormat="1" applyAlignment="1">
      <alignment wrapText="1"/>
    </xf>
    <xf numFmtId="43" fontId="35" fillId="0" borderId="40" xfId="42" applyNumberFormat="1" applyFont="1" applyBorder="1" applyAlignment="1">
      <alignment/>
    </xf>
    <xf numFmtId="167" fontId="35" fillId="0" borderId="0" xfId="42" applyNumberFormat="1" applyFont="1" applyBorder="1" applyAlignment="1">
      <alignment/>
    </xf>
    <xf numFmtId="167" fontId="0" fillId="0" borderId="41" xfId="42" applyNumberFormat="1" applyFont="1" applyBorder="1" applyAlignment="1">
      <alignment/>
    </xf>
    <xf numFmtId="167" fontId="0" fillId="0" borderId="0" xfId="42" applyNumberFormat="1" applyFont="1" applyBorder="1" applyAlignment="1">
      <alignment/>
    </xf>
    <xf numFmtId="43" fontId="0" fillId="34" borderId="0" xfId="0" applyNumberFormat="1" applyFill="1" applyAlignment="1">
      <alignment/>
    </xf>
    <xf numFmtId="0" fontId="54" fillId="0" borderId="0" xfId="0" applyFont="1" applyBorder="1" applyAlignment="1">
      <alignment/>
    </xf>
    <xf numFmtId="43" fontId="0" fillId="35" borderId="0" xfId="0" applyNumberFormat="1" applyFill="1" applyAlignment="1">
      <alignment/>
    </xf>
    <xf numFmtId="0" fontId="54" fillId="36" borderId="0" xfId="0" applyFont="1" applyFill="1" applyBorder="1" applyAlignment="1">
      <alignment/>
    </xf>
    <xf numFmtId="43" fontId="0" fillId="0" borderId="0" xfId="0" applyNumberFormat="1" applyFill="1" applyAlignment="1">
      <alignment/>
    </xf>
    <xf numFmtId="0" fontId="53" fillId="0" borderId="0" xfId="0" applyFont="1" applyBorder="1" applyAlignment="1">
      <alignment/>
    </xf>
    <xf numFmtId="43" fontId="50" fillId="0" borderId="40" xfId="42" applyNumberFormat="1" applyFont="1" applyBorder="1" applyAlignment="1">
      <alignment/>
    </xf>
    <xf numFmtId="167" fontId="50" fillId="0" borderId="40" xfId="42" applyNumberFormat="1" applyFont="1" applyBorder="1" applyAlignment="1">
      <alignment/>
    </xf>
    <xf numFmtId="167" fontId="50" fillId="0" borderId="0" xfId="42" applyNumberFormat="1" applyFont="1" applyBorder="1" applyAlignment="1">
      <alignment/>
    </xf>
    <xf numFmtId="167" fontId="50" fillId="0" borderId="41" xfId="42" applyNumberFormat="1" applyFont="1" applyBorder="1" applyAlignment="1">
      <alignment/>
    </xf>
    <xf numFmtId="0" fontId="55" fillId="0" borderId="0" xfId="0" applyFont="1" applyBorder="1" applyAlignment="1">
      <alignment/>
    </xf>
    <xf numFmtId="43" fontId="50" fillId="0" borderId="42" xfId="42" applyNumberFormat="1" applyFont="1" applyBorder="1" applyAlignment="1">
      <alignment/>
    </xf>
    <xf numFmtId="167" fontId="50" fillId="0" borderId="42" xfId="42" applyNumberFormat="1" applyFont="1" applyBorder="1" applyAlignment="1">
      <alignment/>
    </xf>
    <xf numFmtId="167" fontId="50" fillId="0" borderId="43" xfId="42" applyNumberFormat="1" applyFont="1" applyBorder="1" applyAlignment="1">
      <alignment/>
    </xf>
    <xf numFmtId="0" fontId="56" fillId="0" borderId="0" xfId="0" applyFont="1" applyBorder="1" applyAlignment="1">
      <alignment horizontal="center"/>
    </xf>
    <xf numFmtId="43" fontId="54" fillId="36" borderId="0" xfId="42" applyFont="1" applyFill="1" applyBorder="1" applyAlignment="1">
      <alignment horizontal="center" wrapText="1"/>
    </xf>
    <xf numFmtId="43" fontId="54" fillId="0" borderId="0" xfId="42" applyFont="1" applyBorder="1" applyAlignment="1">
      <alignment wrapText="1"/>
    </xf>
    <xf numFmtId="0" fontId="54" fillId="36" borderId="0" xfId="0" applyFont="1" applyFill="1" applyBorder="1" applyAlignment="1">
      <alignment wrapText="1"/>
    </xf>
    <xf numFmtId="43" fontId="54" fillId="36" borderId="0" xfId="42" applyFont="1" applyFill="1" applyBorder="1" applyAlignment="1">
      <alignment wrapText="1"/>
    </xf>
    <xf numFmtId="0" fontId="54" fillId="0" borderId="0" xfId="0" applyFont="1" applyBorder="1" applyAlignment="1">
      <alignment horizontal="left" indent="3"/>
    </xf>
    <xf numFmtId="43" fontId="54" fillId="0" borderId="0" xfId="42" applyFont="1" applyBorder="1" applyAlignment="1">
      <alignment/>
    </xf>
    <xf numFmtId="2" fontId="54" fillId="0" borderId="0" xfId="0" applyNumberFormat="1" applyFont="1" applyBorder="1" applyAlignment="1">
      <alignment/>
    </xf>
    <xf numFmtId="0" fontId="54" fillId="0" borderId="0" xfId="0" applyFont="1" applyBorder="1" applyAlignment="1">
      <alignment horizontal="left" indent="5"/>
    </xf>
    <xf numFmtId="167" fontId="54" fillId="0" borderId="0" xfId="42" applyNumberFormat="1" applyFont="1" applyBorder="1" applyAlignment="1">
      <alignment/>
    </xf>
    <xf numFmtId="43" fontId="54" fillId="0" borderId="0" xfId="0" applyNumberFormat="1" applyFont="1" applyBorder="1" applyAlignment="1">
      <alignment/>
    </xf>
    <xf numFmtId="0" fontId="57" fillId="36" borderId="0" xfId="0" applyFont="1" applyFill="1" applyBorder="1" applyAlignment="1">
      <alignment horizontal="left" indent="5"/>
    </xf>
    <xf numFmtId="43" fontId="57" fillId="36" borderId="0" xfId="42" applyFont="1" applyFill="1" applyBorder="1" applyAlignment="1">
      <alignment/>
    </xf>
    <xf numFmtId="167" fontId="57" fillId="36" borderId="0" xfId="42" applyNumberFormat="1" applyFont="1" applyFill="1" applyBorder="1" applyAlignment="1">
      <alignment/>
    </xf>
    <xf numFmtId="43" fontId="51" fillId="36" borderId="0" xfId="0" applyNumberFormat="1" applyFont="1" applyFill="1" applyAlignment="1">
      <alignment/>
    </xf>
    <xf numFmtId="167" fontId="57" fillId="36" borderId="0" xfId="0" applyNumberFormat="1" applyFont="1" applyFill="1" applyBorder="1" applyAlignment="1">
      <alignment/>
    </xf>
    <xf numFmtId="0" fontId="53" fillId="0" borderId="44" xfId="0" applyFont="1" applyFill="1" applyBorder="1" applyAlignment="1">
      <alignment horizontal="left" indent="3"/>
    </xf>
    <xf numFmtId="43" fontId="53" fillId="0" borderId="18" xfId="42" applyFont="1" applyFill="1" applyBorder="1" applyAlignment="1">
      <alignment/>
    </xf>
    <xf numFmtId="167" fontId="53" fillId="0" borderId="18" xfId="42" applyNumberFormat="1" applyFont="1" applyFill="1" applyBorder="1" applyAlignment="1">
      <alignment/>
    </xf>
    <xf numFmtId="43" fontId="53" fillId="0" borderId="20" xfId="42" applyFont="1" applyFill="1" applyBorder="1" applyAlignment="1">
      <alignment/>
    </xf>
    <xf numFmtId="43" fontId="54" fillId="36" borderId="0" xfId="0" applyNumberFormat="1" applyFont="1" applyFill="1" applyBorder="1" applyAlignment="1">
      <alignment/>
    </xf>
    <xf numFmtId="0" fontId="53" fillId="0" borderId="44" xfId="0" applyFont="1" applyBorder="1" applyAlignment="1">
      <alignment horizontal="left" indent="3"/>
    </xf>
    <xf numFmtId="43" fontId="53" fillId="0" borderId="18" xfId="42" applyFont="1" applyBorder="1" applyAlignment="1">
      <alignment/>
    </xf>
    <xf numFmtId="167" fontId="53" fillId="0" borderId="18" xfId="42" applyNumberFormat="1" applyFont="1" applyBorder="1" applyAlignment="1">
      <alignment/>
    </xf>
    <xf numFmtId="43" fontId="53" fillId="0" borderId="20" xfId="42" applyFont="1" applyBorder="1" applyAlignment="1">
      <alignment/>
    </xf>
    <xf numFmtId="43" fontId="54" fillId="0" borderId="45" xfId="42" applyFont="1" applyBorder="1" applyAlignment="1">
      <alignment/>
    </xf>
    <xf numFmtId="43" fontId="35" fillId="0" borderId="40" xfId="42" applyFont="1" applyBorder="1" applyAlignment="1">
      <alignment/>
    </xf>
    <xf numFmtId="43" fontId="54" fillId="0" borderId="0" xfId="42" applyFont="1" applyFill="1" applyBorder="1" applyAlignment="1">
      <alignment/>
    </xf>
    <xf numFmtId="0" fontId="57" fillId="36" borderId="0" xfId="0" applyFont="1" applyFill="1" applyBorder="1" applyAlignment="1">
      <alignment horizontal="left" indent="3"/>
    </xf>
    <xf numFmtId="2" fontId="57" fillId="36" borderId="0" xfId="0" applyNumberFormat="1" applyFont="1" applyFill="1" applyBorder="1" applyAlignment="1">
      <alignment/>
    </xf>
    <xf numFmtId="0" fontId="54" fillId="0" borderId="44" xfId="0" applyFont="1" applyBorder="1" applyAlignment="1">
      <alignment horizontal="left" indent="3"/>
    </xf>
    <xf numFmtId="43" fontId="54" fillId="0" borderId="18" xfId="42" applyFont="1" applyBorder="1" applyAlignment="1">
      <alignment/>
    </xf>
    <xf numFmtId="167" fontId="54" fillId="0" borderId="18" xfId="42" applyNumberFormat="1" applyFont="1" applyBorder="1" applyAlignment="1">
      <alignment/>
    </xf>
    <xf numFmtId="43" fontId="54" fillId="0" borderId="20" xfId="42" applyFont="1" applyBorder="1" applyAlignment="1">
      <alignment/>
    </xf>
    <xf numFmtId="167" fontId="54" fillId="0" borderId="0" xfId="42" applyNumberFormat="1" applyFont="1" applyFill="1" applyBorder="1" applyAlignment="1">
      <alignment/>
    </xf>
    <xf numFmtId="0" fontId="53" fillId="0" borderId="44" xfId="0" applyFont="1" applyBorder="1" applyAlignment="1">
      <alignment/>
    </xf>
    <xf numFmtId="43" fontId="54" fillId="36" borderId="0" xfId="42" applyFont="1" applyFill="1" applyBorder="1" applyAlignment="1">
      <alignment/>
    </xf>
    <xf numFmtId="167" fontId="54" fillId="36" borderId="0" xfId="42" applyNumberFormat="1" applyFont="1" applyFill="1" applyBorder="1" applyAlignment="1">
      <alignment/>
    </xf>
    <xf numFmtId="43" fontId="0" fillId="36" borderId="0" xfId="0" applyNumberFormat="1" applyFill="1" applyAlignment="1">
      <alignment/>
    </xf>
    <xf numFmtId="168" fontId="53" fillId="0" borderId="18" xfId="57" applyNumberFormat="1" applyFont="1" applyBorder="1" applyAlignment="1">
      <alignment/>
    </xf>
    <xf numFmtId="9" fontId="53" fillId="0" borderId="18" xfId="57" applyFont="1" applyBorder="1" applyAlignment="1">
      <alignment/>
    </xf>
    <xf numFmtId="43" fontId="53" fillId="0" borderId="18" xfId="57" applyNumberFormat="1" applyFont="1" applyBorder="1" applyAlignment="1">
      <alignment/>
    </xf>
    <xf numFmtId="0" fontId="53" fillId="0" borderId="46" xfId="0" applyFont="1" applyBorder="1" applyAlignment="1">
      <alignment/>
    </xf>
    <xf numFmtId="43" fontId="53" fillId="0" borderId="30" xfId="42" applyFont="1" applyBorder="1" applyAlignment="1">
      <alignment/>
    </xf>
    <xf numFmtId="43" fontId="53" fillId="0" borderId="30" xfId="42" applyFont="1" applyFill="1" applyBorder="1" applyAlignment="1">
      <alignment/>
    </xf>
    <xf numFmtId="167" fontId="53" fillId="0" borderId="30" xfId="42" applyNumberFormat="1" applyFont="1" applyFill="1" applyBorder="1" applyAlignment="1">
      <alignment/>
    </xf>
    <xf numFmtId="43" fontId="53" fillId="0" borderId="31" xfId="42" applyFont="1" applyBorder="1" applyAlignment="1">
      <alignment/>
    </xf>
    <xf numFmtId="0" fontId="54" fillId="0" borderId="42" xfId="0" applyFont="1" applyBorder="1" applyAlignment="1">
      <alignment/>
    </xf>
    <xf numFmtId="43" fontId="54" fillId="0" borderId="39" xfId="42" applyFont="1" applyBorder="1" applyAlignment="1">
      <alignment/>
    </xf>
    <xf numFmtId="43" fontId="54" fillId="0" borderId="43" xfId="42" applyFont="1" applyBorder="1" applyAlignment="1">
      <alignment/>
    </xf>
    <xf numFmtId="167" fontId="0" fillId="36" borderId="47" xfId="42" applyNumberFormat="1" applyFont="1" applyFill="1" applyBorder="1" applyAlignment="1">
      <alignment/>
    </xf>
    <xf numFmtId="167" fontId="0" fillId="36" borderId="0" xfId="42" applyNumberFormat="1" applyFont="1" applyFill="1" applyBorder="1" applyAlignment="1">
      <alignment/>
    </xf>
    <xf numFmtId="167" fontId="54" fillId="36" borderId="39" xfId="42" applyNumberFormat="1" applyFont="1" applyFill="1" applyBorder="1" applyAlignment="1">
      <alignment/>
    </xf>
    <xf numFmtId="0" fontId="50" fillId="0" borderId="46" xfId="0" applyFont="1" applyBorder="1" applyAlignment="1">
      <alignment/>
    </xf>
    <xf numFmtId="167" fontId="53" fillId="36" borderId="30" xfId="42" applyNumberFormat="1" applyFont="1" applyFill="1" applyBorder="1" applyAlignment="1">
      <alignment/>
    </xf>
    <xf numFmtId="167" fontId="53" fillId="36" borderId="31" xfId="42" applyNumberFormat="1" applyFont="1" applyFill="1" applyBorder="1" applyAlignment="1">
      <alignment/>
    </xf>
    <xf numFmtId="167" fontId="53" fillId="36" borderId="18" xfId="42" applyNumberFormat="1" applyFont="1" applyFill="1" applyBorder="1" applyAlignment="1">
      <alignment/>
    </xf>
    <xf numFmtId="167" fontId="54" fillId="36" borderId="18" xfId="42" applyNumberFormat="1" applyFont="1" applyFill="1" applyBorder="1" applyAlignment="1">
      <alignment/>
    </xf>
    <xf numFmtId="167" fontId="54" fillId="36" borderId="20" xfId="42" applyNumberFormat="1" applyFont="1" applyFill="1" applyBorder="1" applyAlignment="1">
      <alignment/>
    </xf>
    <xf numFmtId="167" fontId="53" fillId="36" borderId="20" xfId="42" applyNumberFormat="1" applyFont="1" applyFill="1" applyBorder="1" applyAlignment="1">
      <alignment/>
    </xf>
    <xf numFmtId="0" fontId="50" fillId="0" borderId="44" xfId="0" applyFont="1" applyBorder="1" applyAlignment="1">
      <alignment/>
    </xf>
    <xf numFmtId="0" fontId="54" fillId="0" borderId="19" xfId="0" applyFont="1" applyBorder="1" applyAlignment="1">
      <alignment wrapText="1"/>
    </xf>
    <xf numFmtId="43" fontId="54" fillId="0" borderId="19" xfId="42" applyFont="1" applyBorder="1" applyAlignment="1">
      <alignment wrapText="1"/>
    </xf>
    <xf numFmtId="43" fontId="53" fillId="0" borderId="19" xfId="42" applyFont="1" applyBorder="1" applyAlignment="1">
      <alignment wrapText="1"/>
    </xf>
    <xf numFmtId="0" fontId="0" fillId="0" borderId="0" xfId="0" applyAlignment="1">
      <alignment wrapText="1"/>
    </xf>
    <xf numFmtId="0" fontId="54" fillId="0" borderId="19" xfId="0" applyFont="1" applyBorder="1" applyAlignment="1">
      <alignment/>
    </xf>
    <xf numFmtId="167" fontId="54" fillId="0" borderId="19" xfId="42" applyNumberFormat="1" applyFont="1" applyBorder="1" applyAlignment="1">
      <alignment/>
    </xf>
    <xf numFmtId="43" fontId="54" fillId="0" borderId="19" xfId="42" applyFont="1" applyBorder="1" applyAlignment="1">
      <alignment/>
    </xf>
    <xf numFmtId="4" fontId="0" fillId="0" borderId="0" xfId="0" applyNumberFormat="1" applyBorder="1" applyAlignment="1">
      <alignment/>
    </xf>
    <xf numFmtId="167" fontId="54" fillId="0" borderId="19" xfId="42" applyNumberFormat="1" applyFont="1" applyFill="1" applyBorder="1" applyAlignment="1">
      <alignment/>
    </xf>
    <xf numFmtId="0" fontId="0" fillId="0" borderId="19" xfId="0" applyBorder="1" applyAlignment="1">
      <alignment/>
    </xf>
    <xf numFmtId="0" fontId="53" fillId="0" borderId="19" xfId="0" applyFont="1" applyBorder="1" applyAlignment="1">
      <alignment/>
    </xf>
    <xf numFmtId="167" fontId="53" fillId="0" borderId="19" xfId="42" applyNumberFormat="1" applyFont="1" applyBorder="1" applyAlignment="1">
      <alignment/>
    </xf>
    <xf numFmtId="0" fontId="54" fillId="0" borderId="32" xfId="0" applyFont="1" applyBorder="1" applyAlignment="1">
      <alignment/>
    </xf>
    <xf numFmtId="167" fontId="54" fillId="34" borderId="32" xfId="42" applyNumberFormat="1" applyFont="1" applyFill="1" applyBorder="1" applyAlignment="1">
      <alignment/>
    </xf>
    <xf numFmtId="43" fontId="54" fillId="0" borderId="32" xfId="42" applyFont="1" applyBorder="1" applyAlignment="1">
      <alignment/>
    </xf>
    <xf numFmtId="167" fontId="54" fillId="0" borderId="32" xfId="42" applyNumberFormat="1" applyFont="1" applyBorder="1" applyAlignment="1">
      <alignment/>
    </xf>
    <xf numFmtId="0" fontId="53" fillId="0" borderId="48" xfId="0" applyFont="1" applyBorder="1" applyAlignment="1">
      <alignment/>
    </xf>
    <xf numFmtId="43" fontId="53" fillId="0" borderId="49" xfId="42" applyFont="1" applyBorder="1" applyAlignment="1">
      <alignment/>
    </xf>
    <xf numFmtId="167" fontId="53" fillId="0" borderId="49" xfId="42" applyNumberFormat="1" applyFont="1" applyBorder="1" applyAlignment="1">
      <alignment/>
    </xf>
    <xf numFmtId="167" fontId="53" fillId="0" borderId="50" xfId="42" applyNumberFormat="1" applyFont="1" applyBorder="1" applyAlignment="1">
      <alignment/>
    </xf>
    <xf numFmtId="0" fontId="54" fillId="0" borderId="51" xfId="0" applyFont="1" applyBorder="1" applyAlignment="1">
      <alignment/>
    </xf>
    <xf numFmtId="4" fontId="0" fillId="0" borderId="51" xfId="0" applyNumberFormat="1" applyBorder="1" applyAlignment="1">
      <alignment/>
    </xf>
    <xf numFmtId="43" fontId="54" fillId="0" borderId="51" xfId="42" applyFont="1" applyBorder="1" applyAlignment="1">
      <alignment/>
    </xf>
    <xf numFmtId="4" fontId="0" fillId="0" borderId="19" xfId="0" applyNumberFormat="1" applyBorder="1" applyAlignment="1">
      <alignment/>
    </xf>
    <xf numFmtId="167" fontId="54" fillId="34" borderId="19" xfId="42" applyNumberFormat="1" applyFont="1" applyFill="1" applyBorder="1" applyAlignment="1">
      <alignment/>
    </xf>
    <xf numFmtId="167" fontId="50" fillId="0" borderId="39" xfId="42" applyNumberFormat="1" applyFont="1" applyBorder="1" applyAlignment="1">
      <alignment/>
    </xf>
    <xf numFmtId="167" fontId="54" fillId="0" borderId="0" xfId="0" applyNumberFormat="1" applyFont="1" applyBorder="1" applyAlignment="1">
      <alignment/>
    </xf>
    <xf numFmtId="167" fontId="53" fillId="0" borderId="0" xfId="0" applyNumberFormat="1" applyFont="1" applyBorder="1" applyAlignment="1">
      <alignment/>
    </xf>
    <xf numFmtId="43" fontId="53" fillId="0" borderId="0" xfId="0" applyNumberFormat="1" applyFont="1" applyBorder="1" applyAlignment="1">
      <alignment/>
    </xf>
    <xf numFmtId="167" fontId="53" fillId="0" borderId="0" xfId="42" applyNumberFormat="1" applyFont="1" applyBorder="1" applyAlignment="1">
      <alignment/>
    </xf>
    <xf numFmtId="167" fontId="54" fillId="0" borderId="0" xfId="0" applyNumberFormat="1" applyFont="1" applyBorder="1" applyAlignment="1">
      <alignment wrapText="1"/>
    </xf>
    <xf numFmtId="14" fontId="4" fillId="0" borderId="0" xfId="0" applyNumberFormat="1" applyFont="1" applyBorder="1" applyAlignment="1">
      <alignment/>
    </xf>
    <xf numFmtId="2" fontId="4" fillId="0" borderId="0" xfId="0" applyNumberFormat="1" applyFont="1" applyBorder="1" applyAlignment="1">
      <alignment/>
    </xf>
    <xf numFmtId="167" fontId="4" fillId="0" borderId="0" xfId="42" applyNumberFormat="1" applyFont="1" applyBorder="1" applyAlignment="1">
      <alignment/>
    </xf>
    <xf numFmtId="43" fontId="4" fillId="0" borderId="0" xfId="42" applyNumberFormat="1" applyFont="1" applyBorder="1" applyAlignment="1">
      <alignment/>
    </xf>
    <xf numFmtId="43" fontId="6" fillId="0" borderId="0" xfId="42" applyNumberFormat="1" applyFont="1" applyBorder="1" applyAlignment="1">
      <alignment/>
    </xf>
    <xf numFmtId="167" fontId="6" fillId="0" borderId="0" xfId="42" applyNumberFormat="1" applyFont="1" applyBorder="1" applyAlignment="1">
      <alignment/>
    </xf>
    <xf numFmtId="2" fontId="6" fillId="0" borderId="0" xfId="0" applyNumberFormat="1" applyFont="1" applyBorder="1" applyAlignment="1">
      <alignment/>
    </xf>
    <xf numFmtId="167" fontId="6" fillId="0" borderId="0" xfId="42" applyNumberFormat="1" applyFont="1" applyFill="1" applyBorder="1" applyAlignment="1">
      <alignment/>
    </xf>
    <xf numFmtId="0" fontId="4" fillId="0" borderId="46" xfId="0" applyFont="1" applyBorder="1" applyAlignment="1">
      <alignment/>
    </xf>
    <xf numFmtId="0" fontId="6" fillId="0" borderId="30" xfId="0" applyFont="1" applyBorder="1" applyAlignment="1">
      <alignment/>
    </xf>
    <xf numFmtId="0" fontId="1" fillId="0" borderId="30" xfId="0" applyFont="1" applyBorder="1" applyAlignment="1">
      <alignment/>
    </xf>
    <xf numFmtId="3" fontId="6" fillId="0" borderId="31" xfId="0" applyNumberFormat="1" applyFont="1" applyBorder="1" applyAlignment="1">
      <alignment/>
    </xf>
    <xf numFmtId="0" fontId="4" fillId="0" borderId="40" xfId="0" applyFont="1" applyBorder="1" applyAlignment="1">
      <alignment/>
    </xf>
    <xf numFmtId="167" fontId="4" fillId="0" borderId="41" xfId="42" applyNumberFormat="1" applyFont="1" applyBorder="1" applyAlignment="1">
      <alignment/>
    </xf>
    <xf numFmtId="0" fontId="6" fillId="0" borderId="40" xfId="0" applyFont="1" applyBorder="1" applyAlignment="1">
      <alignment wrapText="1"/>
    </xf>
    <xf numFmtId="167" fontId="6" fillId="0" borderId="41" xfId="42" applyNumberFormat="1" applyFont="1" applyBorder="1" applyAlignment="1">
      <alignment/>
    </xf>
    <xf numFmtId="0" fontId="6" fillId="0" borderId="40" xfId="0" applyFont="1" applyBorder="1" applyAlignment="1">
      <alignment/>
    </xf>
    <xf numFmtId="3" fontId="4" fillId="0" borderId="43" xfId="0" applyNumberFormat="1" applyFont="1" applyBorder="1" applyAlignment="1">
      <alignment/>
    </xf>
    <xf numFmtId="0" fontId="11" fillId="0" borderId="42" xfId="0" applyFont="1" applyBorder="1" applyAlignment="1">
      <alignment/>
    </xf>
    <xf numFmtId="0" fontId="7" fillId="0" borderId="39" xfId="0" applyFont="1" applyBorder="1" applyAlignment="1">
      <alignment/>
    </xf>
    <xf numFmtId="167" fontId="11" fillId="0" borderId="39" xfId="0" applyNumberFormat="1" applyFont="1" applyBorder="1" applyAlignment="1">
      <alignment/>
    </xf>
    <xf numFmtId="0" fontId="4" fillId="0" borderId="0" xfId="0" applyFont="1" applyBorder="1" applyAlignment="1">
      <alignment horizontal="left" wrapText="1"/>
    </xf>
    <xf numFmtId="14" fontId="4" fillId="0" borderId="16" xfId="0" applyNumberFormat="1" applyFont="1" applyBorder="1" applyAlignment="1">
      <alignment/>
    </xf>
    <xf numFmtId="0" fontId="4" fillId="0" borderId="0" xfId="0" applyFont="1" applyBorder="1" applyAlignment="1">
      <alignment horizontal="left"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6" fillId="0" borderId="0" xfId="0" applyFont="1" applyBorder="1" applyAlignment="1">
      <alignment horizontal="center"/>
    </xf>
    <xf numFmtId="43" fontId="54" fillId="36" borderId="0" xfId="42" applyFont="1" applyFill="1" applyBorder="1" applyAlignment="1">
      <alignment horizontal="center" wrapText="1"/>
    </xf>
    <xf numFmtId="167" fontId="52" fillId="0" borderId="46" xfId="42" applyNumberFormat="1" applyFont="1" applyBorder="1" applyAlignment="1">
      <alignment horizontal="center"/>
    </xf>
    <xf numFmtId="167" fontId="52" fillId="0" borderId="30" xfId="42" applyNumberFormat="1" applyFont="1" applyBorder="1" applyAlignment="1">
      <alignment horizontal="center"/>
    </xf>
    <xf numFmtId="167" fontId="52" fillId="0" borderId="31" xfId="42"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for%20budget%20report%20Final-6.15.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TEs"/>
      <sheetName val="Supplemental"/>
      <sheetName val="Personnel Costs"/>
      <sheetName val="Phase out"/>
      <sheetName val="Adopted to Proposed"/>
      <sheetName val="Current to Proposed"/>
      <sheetName val="Sheet2"/>
    </sheetNames>
    <sheetDataSet>
      <sheetData sheetId="4">
        <row r="42">
          <cell r="E42">
            <v>79008473.3707301</v>
          </cell>
          <cell r="N42">
            <v>11374680.681696678</v>
          </cell>
        </row>
        <row r="43">
          <cell r="E43">
            <v>14602557</v>
          </cell>
        </row>
        <row r="44">
          <cell r="E44">
            <v>3866970</v>
          </cell>
        </row>
        <row r="45">
          <cell r="E45">
            <v>15080572</v>
          </cell>
        </row>
        <row r="46">
          <cell r="E46">
            <v>112558572.3707301</v>
          </cell>
        </row>
      </sheetData>
      <sheetData sheetId="5">
        <row r="43">
          <cell r="H43">
            <v>84917791.7527311</v>
          </cell>
        </row>
        <row r="44">
          <cell r="H44">
            <v>14602557</v>
          </cell>
        </row>
        <row r="45">
          <cell r="H45">
            <v>3866970</v>
          </cell>
        </row>
        <row r="46">
          <cell r="H46">
            <v>15080572</v>
          </cell>
        </row>
        <row r="47">
          <cell r="H47">
            <v>118467890.7527311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446"/>
  <sheetViews>
    <sheetView tabSelected="1" workbookViewId="0" topLeftCell="A1">
      <selection activeCell="A18" sqref="A18"/>
    </sheetView>
  </sheetViews>
  <sheetFormatPr defaultColWidth="9.140625" defaultRowHeight="12.75"/>
  <cols>
    <col min="1" max="1" width="19.00390625" style="0" customWidth="1"/>
    <col min="2" max="2" width="12.28125" style="0" customWidth="1"/>
    <col min="3" max="7" width="15.7109375" style="0" customWidth="1"/>
  </cols>
  <sheetData>
    <row r="1" spans="1:9" ht="17.25" customHeight="1">
      <c r="A1" s="68" t="s">
        <v>21</v>
      </c>
      <c r="B1" s="2"/>
      <c r="C1" s="2"/>
      <c r="D1" s="2"/>
      <c r="E1" s="2"/>
      <c r="F1" s="2"/>
      <c r="G1" s="2"/>
      <c r="H1" s="1"/>
      <c r="I1" s="1"/>
    </row>
    <row r="2" spans="1:8" ht="14.25" thickBot="1">
      <c r="A2" s="28"/>
      <c r="B2" s="2"/>
      <c r="C2" s="2"/>
      <c r="D2" s="2"/>
      <c r="E2" s="2"/>
      <c r="F2" s="2"/>
      <c r="G2" s="2"/>
      <c r="H2" s="3"/>
    </row>
    <row r="3" spans="1:8" ht="18" customHeight="1" thickTop="1">
      <c r="A3" s="4" t="s">
        <v>11</v>
      </c>
      <c r="B3" s="5"/>
      <c r="C3" s="6"/>
      <c r="D3" s="6"/>
      <c r="E3" s="6"/>
      <c r="F3" s="6"/>
      <c r="G3" s="7"/>
      <c r="H3" s="3"/>
    </row>
    <row r="4" spans="1:8" ht="18" customHeight="1">
      <c r="A4" s="8" t="s">
        <v>0</v>
      </c>
      <c r="C4" s="9" t="s">
        <v>197</v>
      </c>
      <c r="D4" s="10"/>
      <c r="E4" s="10"/>
      <c r="F4" s="10"/>
      <c r="G4" s="11"/>
      <c r="H4" s="3"/>
    </row>
    <row r="5" spans="1:7" ht="18" customHeight="1">
      <c r="A5" s="12" t="s">
        <v>1</v>
      </c>
      <c r="B5" s="13"/>
      <c r="C5" s="13" t="s">
        <v>198</v>
      </c>
      <c r="D5" s="13"/>
      <c r="E5" s="13"/>
      <c r="F5" s="13"/>
      <c r="G5" s="14"/>
    </row>
    <row r="6" spans="1:7" ht="18" customHeight="1">
      <c r="A6" s="12" t="s">
        <v>2</v>
      </c>
      <c r="B6" s="13"/>
      <c r="C6" s="13" t="s">
        <v>199</v>
      </c>
      <c r="D6" s="13"/>
      <c r="E6" s="13"/>
      <c r="F6" s="13"/>
      <c r="G6" s="14"/>
    </row>
    <row r="7" spans="1:7" ht="18" customHeight="1">
      <c r="A7" s="12" t="s">
        <v>16</v>
      </c>
      <c r="B7" s="13"/>
      <c r="C7" s="190">
        <v>42172</v>
      </c>
      <c r="D7" s="13"/>
      <c r="E7" s="13"/>
      <c r="F7" s="13"/>
      <c r="G7" s="14"/>
    </row>
    <row r="8" spans="1:7" ht="18" customHeight="1">
      <c r="A8" s="12" t="s">
        <v>3</v>
      </c>
      <c r="B8" s="13"/>
      <c r="C8" s="13" t="s">
        <v>214</v>
      </c>
      <c r="D8" s="13"/>
      <c r="E8" s="13"/>
      <c r="F8" s="13"/>
      <c r="G8" s="14"/>
    </row>
    <row r="9" spans="1:7" ht="18" customHeight="1" thickBot="1">
      <c r="A9" s="15" t="s">
        <v>17</v>
      </c>
      <c r="B9" s="16"/>
      <c r="C9" s="212">
        <v>42173</v>
      </c>
      <c r="D9" s="16"/>
      <c r="E9" s="16"/>
      <c r="F9" s="16"/>
      <c r="G9" s="17"/>
    </row>
    <row r="10" spans="1:7" ht="18" customHeight="1" thickTop="1">
      <c r="A10" s="18"/>
      <c r="C10" s="18"/>
      <c r="D10" s="13"/>
      <c r="E10" s="13"/>
      <c r="F10" s="13"/>
      <c r="G10" s="13"/>
    </row>
    <row r="11" spans="1:7" ht="18" customHeight="1" thickBot="1">
      <c r="A11" s="38" t="s">
        <v>12</v>
      </c>
      <c r="C11" s="18"/>
      <c r="D11" s="18"/>
      <c r="E11" s="18"/>
      <c r="F11" s="18"/>
      <c r="G11" s="18"/>
    </row>
    <row r="12" spans="1:9" ht="18" customHeight="1">
      <c r="A12" s="214" t="s">
        <v>215</v>
      </c>
      <c r="B12" s="215"/>
      <c r="C12" s="215"/>
      <c r="D12" s="215"/>
      <c r="E12" s="215"/>
      <c r="F12" s="215"/>
      <c r="G12" s="216"/>
      <c r="I12" s="52"/>
    </row>
    <row r="13" spans="1:7" ht="35.25" customHeight="1" thickBot="1">
      <c r="A13" s="217"/>
      <c r="B13" s="218"/>
      <c r="C13" s="218"/>
      <c r="D13" s="218"/>
      <c r="E13" s="218"/>
      <c r="F13" s="218"/>
      <c r="G13" s="219"/>
    </row>
    <row r="14" spans="1:7" ht="18" customHeight="1">
      <c r="A14" s="66"/>
      <c r="B14" s="66"/>
      <c r="C14" s="66"/>
      <c r="D14" s="66"/>
      <c r="E14" s="66"/>
      <c r="F14" s="66"/>
      <c r="G14" s="66"/>
    </row>
    <row r="15" spans="1:7" ht="18" customHeight="1" thickBot="1">
      <c r="A15" s="39" t="s">
        <v>4</v>
      </c>
      <c r="B15" s="13"/>
      <c r="C15" s="18"/>
      <c r="D15" s="18"/>
      <c r="E15" s="18"/>
      <c r="F15" s="18"/>
      <c r="G15" s="18"/>
    </row>
    <row r="16" spans="1:9" ht="27">
      <c r="A16" s="29" t="s">
        <v>18</v>
      </c>
      <c r="B16" s="30"/>
      <c r="C16" s="48" t="s">
        <v>9</v>
      </c>
      <c r="D16" s="48" t="s">
        <v>10</v>
      </c>
      <c r="E16" s="48" t="s">
        <v>13</v>
      </c>
      <c r="F16" s="49" t="s">
        <v>14</v>
      </c>
      <c r="G16" s="54" t="s">
        <v>15</v>
      </c>
      <c r="I16" s="51"/>
    </row>
    <row r="17" spans="1:7" ht="18" customHeight="1">
      <c r="A17" s="32" t="s">
        <v>228</v>
      </c>
      <c r="B17" s="22"/>
      <c r="C17" s="55">
        <v>10</v>
      </c>
      <c r="D17" s="55" t="s">
        <v>213</v>
      </c>
      <c r="E17" s="20">
        <v>353000</v>
      </c>
      <c r="F17" s="20"/>
      <c r="G17" s="62"/>
    </row>
    <row r="18" spans="1:7" ht="18" customHeight="1">
      <c r="A18" s="32"/>
      <c r="B18" s="19"/>
      <c r="C18" s="56"/>
      <c r="D18" s="55"/>
      <c r="E18" s="20"/>
      <c r="F18" s="20"/>
      <c r="G18" s="62"/>
    </row>
    <row r="19" spans="1:7" ht="18" customHeight="1" thickBot="1">
      <c r="A19" s="33"/>
      <c r="B19" s="34" t="s">
        <v>5</v>
      </c>
      <c r="C19" s="57"/>
      <c r="D19" s="57"/>
      <c r="E19" s="47">
        <f>SUM(E17:E18)</f>
        <v>353000</v>
      </c>
      <c r="F19" s="47">
        <f>SUM(F17:F18)</f>
        <v>0</v>
      </c>
      <c r="G19" s="61">
        <f>SUM(G17:G18)</f>
        <v>0</v>
      </c>
    </row>
    <row r="20" spans="1:7" ht="18" customHeight="1">
      <c r="A20" s="18"/>
      <c r="B20" s="18"/>
      <c r="C20" s="58"/>
      <c r="D20" s="58"/>
      <c r="E20" s="21"/>
      <c r="F20" s="21"/>
      <c r="G20" s="21"/>
    </row>
    <row r="21" spans="1:7" ht="18" customHeight="1" thickBot="1">
      <c r="A21" s="38" t="s">
        <v>6</v>
      </c>
      <c r="B21" s="13"/>
      <c r="C21" s="59"/>
      <c r="D21" s="58"/>
      <c r="E21" s="18"/>
      <c r="F21" s="18"/>
      <c r="G21" s="18"/>
    </row>
    <row r="22" spans="1:7" ht="16.5" customHeight="1">
      <c r="A22" s="29" t="s">
        <v>18</v>
      </c>
      <c r="B22" s="30"/>
      <c r="C22" s="48" t="s">
        <v>9</v>
      </c>
      <c r="D22" s="31" t="s">
        <v>7</v>
      </c>
      <c r="E22" s="48" t="str">
        <f>E16</f>
        <v>2015/2016</v>
      </c>
      <c r="F22" s="48" t="str">
        <f>F16</f>
        <v>2017/2018</v>
      </c>
      <c r="G22" s="60" t="str">
        <f>G16</f>
        <v>2019/2020</v>
      </c>
    </row>
    <row r="23" spans="1:7" ht="18" customHeight="1">
      <c r="A23" s="32" t="s">
        <v>198</v>
      </c>
      <c r="B23" s="22"/>
      <c r="C23" s="55">
        <v>10</v>
      </c>
      <c r="D23" s="55" t="s">
        <v>200</v>
      </c>
      <c r="E23" s="50">
        <f>ROUND(C66,-3)</f>
        <v>9078000</v>
      </c>
      <c r="F23" s="50"/>
      <c r="G23" s="63"/>
    </row>
    <row r="24" spans="1:7" ht="18" customHeight="1">
      <c r="A24" s="32"/>
      <c r="B24" s="22"/>
      <c r="C24" s="55"/>
      <c r="D24" s="55"/>
      <c r="E24" s="20"/>
      <c r="F24" s="20"/>
      <c r="G24" s="62"/>
    </row>
    <row r="25" spans="1:8" ht="18" customHeight="1" thickBot="1">
      <c r="A25" s="33"/>
      <c r="B25" s="34" t="s">
        <v>8</v>
      </c>
      <c r="C25" s="57"/>
      <c r="D25" s="57"/>
      <c r="E25" s="47">
        <f>SUM(E23:E24)</f>
        <v>9078000</v>
      </c>
      <c r="F25" s="47">
        <f>SUM(F23:F24)</f>
        <v>0</v>
      </c>
      <c r="G25" s="61">
        <f>SUM(G23:G24)</f>
        <v>0</v>
      </c>
      <c r="H25" s="46"/>
    </row>
    <row r="26" spans="1:7" ht="18" customHeight="1">
      <c r="A26" s="18"/>
      <c r="B26" s="18"/>
      <c r="C26" s="18"/>
      <c r="D26" s="18"/>
      <c r="E26" s="21"/>
      <c r="F26" s="21"/>
      <c r="G26" s="21"/>
    </row>
    <row r="27" spans="1:7" ht="18" customHeight="1" thickBot="1">
      <c r="A27" s="38" t="s">
        <v>19</v>
      </c>
      <c r="B27" s="13"/>
      <c r="C27" s="13"/>
      <c r="D27" s="13"/>
      <c r="E27" s="18"/>
      <c r="F27" s="18"/>
      <c r="G27" s="18"/>
    </row>
    <row r="28" spans="1:9" ht="36" customHeight="1">
      <c r="A28" s="29"/>
      <c r="B28" s="30"/>
      <c r="C28" s="35"/>
      <c r="D28" s="36"/>
      <c r="E28" s="48" t="str">
        <f>E16</f>
        <v>2015/2016</v>
      </c>
      <c r="F28" s="31" t="s">
        <v>14</v>
      </c>
      <c r="G28" s="64" t="s">
        <v>15</v>
      </c>
      <c r="H28" s="25"/>
      <c r="I28" s="25"/>
    </row>
    <row r="29" spans="1:9" ht="18" customHeight="1">
      <c r="A29" s="32" t="s">
        <v>218</v>
      </c>
      <c r="B29" s="19"/>
      <c r="C29" s="23"/>
      <c r="D29" s="24"/>
      <c r="E29" s="20">
        <f>C62</f>
        <v>2177816</v>
      </c>
      <c r="F29" s="20">
        <f>E29*1.051</f>
        <v>2288884.616</v>
      </c>
      <c r="G29" s="62">
        <f>F29*1.058</f>
        <v>2421639.923728</v>
      </c>
      <c r="H29" s="25"/>
      <c r="I29" s="25"/>
    </row>
    <row r="30" spans="1:9" ht="18" customHeight="1">
      <c r="A30" s="32" t="s">
        <v>219</v>
      </c>
      <c r="B30" s="19"/>
      <c r="C30" s="19"/>
      <c r="D30" s="22"/>
      <c r="E30" s="20">
        <f>C51+C60</f>
        <v>5119942</v>
      </c>
      <c r="F30" s="20">
        <f>E30*1.071</f>
        <v>5483457.882</v>
      </c>
      <c r="G30" s="62">
        <f>F30*1.077</f>
        <v>5905684.138914</v>
      </c>
      <c r="H30" s="26"/>
      <c r="I30" s="26"/>
    </row>
    <row r="31" spans="1:9" ht="18" customHeight="1">
      <c r="A31" s="32" t="s">
        <v>221</v>
      </c>
      <c r="B31" s="19"/>
      <c r="C31" s="19"/>
      <c r="D31" s="22"/>
      <c r="E31" s="20">
        <f>E51</f>
        <v>2950847</v>
      </c>
      <c r="F31" s="20">
        <v>0</v>
      </c>
      <c r="G31" s="62">
        <v>0</v>
      </c>
      <c r="H31" s="26"/>
      <c r="I31" s="26"/>
    </row>
    <row r="32" spans="1:7" ht="18" customHeight="1">
      <c r="A32" s="32" t="s">
        <v>224</v>
      </c>
      <c r="B32" s="19"/>
      <c r="C32" s="19"/>
      <c r="D32" s="22"/>
      <c r="E32" s="45">
        <f>C63</f>
        <v>-1330967</v>
      </c>
      <c r="F32" s="20">
        <v>0</v>
      </c>
      <c r="G32" s="62">
        <v>0</v>
      </c>
    </row>
    <row r="33" spans="1:7" ht="18" customHeight="1">
      <c r="A33" s="40" t="s">
        <v>225</v>
      </c>
      <c r="B33" s="41"/>
      <c r="C33" s="41"/>
      <c r="D33" s="42"/>
      <c r="E33" s="43">
        <f>C64</f>
        <v>160023</v>
      </c>
      <c r="F33" s="43">
        <v>0</v>
      </c>
      <c r="G33" s="44">
        <v>0</v>
      </c>
    </row>
    <row r="34" spans="1:9" ht="18" customHeight="1" thickBot="1">
      <c r="A34" s="33" t="s">
        <v>8</v>
      </c>
      <c r="B34" s="34"/>
      <c r="C34" s="34"/>
      <c r="D34" s="37"/>
      <c r="E34" s="47">
        <f>ROUND(SUM(E29:E33),-3)</f>
        <v>9078000</v>
      </c>
      <c r="F34" s="47">
        <f>ROUND(SUM(F29:F33),-3)</f>
        <v>7772000</v>
      </c>
      <c r="G34" s="61">
        <f>ROUND(SUM(G29:G33),-3)</f>
        <v>8327000</v>
      </c>
      <c r="H34" s="27"/>
      <c r="I34" s="27"/>
    </row>
    <row r="35" spans="1:9" ht="18" customHeight="1">
      <c r="A35" s="38" t="s">
        <v>212</v>
      </c>
      <c r="B35" s="13"/>
      <c r="C35" s="13"/>
      <c r="D35" s="13"/>
      <c r="E35" s="65"/>
      <c r="F35" s="65"/>
      <c r="G35" s="65"/>
      <c r="H35" s="27"/>
      <c r="I35" s="27"/>
    </row>
    <row r="36" spans="1:9" ht="18" customHeight="1">
      <c r="A36" s="38" t="s">
        <v>20</v>
      </c>
      <c r="B36" s="13"/>
      <c r="C36" s="13"/>
      <c r="D36" s="13"/>
      <c r="E36" s="65"/>
      <c r="F36" s="65"/>
      <c r="G36" s="65"/>
      <c r="H36" s="27"/>
      <c r="I36" s="27"/>
    </row>
    <row r="37" spans="1:9" ht="34.5" customHeight="1">
      <c r="A37" s="213" t="s">
        <v>216</v>
      </c>
      <c r="B37" s="213"/>
      <c r="C37" s="213"/>
      <c r="D37" s="213"/>
      <c r="E37" s="213"/>
      <c r="F37" s="213"/>
      <c r="G37" s="213"/>
      <c r="H37" s="27"/>
      <c r="I37" s="27"/>
    </row>
    <row r="38" spans="1:9" ht="18" customHeight="1">
      <c r="A38" s="213" t="s">
        <v>217</v>
      </c>
      <c r="B38" s="213"/>
      <c r="C38" s="213"/>
      <c r="D38" s="213"/>
      <c r="E38" s="213"/>
      <c r="F38" s="213"/>
      <c r="G38" s="213"/>
      <c r="H38" s="27"/>
      <c r="I38" s="27"/>
    </row>
    <row r="39" spans="1:9" ht="34.5" customHeight="1">
      <c r="A39" s="213" t="s">
        <v>220</v>
      </c>
      <c r="B39" s="213"/>
      <c r="C39" s="213"/>
      <c r="D39" s="213"/>
      <c r="E39" s="213"/>
      <c r="F39" s="213"/>
      <c r="G39" s="213"/>
      <c r="H39" s="27"/>
      <c r="I39" s="27"/>
    </row>
    <row r="40" spans="1:9" ht="17.25" customHeight="1">
      <c r="A40" s="213" t="s">
        <v>222</v>
      </c>
      <c r="B40" s="213"/>
      <c r="C40" s="213"/>
      <c r="D40" s="213"/>
      <c r="E40" s="213"/>
      <c r="F40" s="213"/>
      <c r="G40" s="213"/>
      <c r="H40" s="27"/>
      <c r="I40" s="27"/>
    </row>
    <row r="41" spans="1:9" ht="34.5" customHeight="1">
      <c r="A41" s="213" t="s">
        <v>223</v>
      </c>
      <c r="B41" s="213"/>
      <c r="C41" s="213"/>
      <c r="D41" s="213"/>
      <c r="E41" s="213"/>
      <c r="F41" s="213"/>
      <c r="G41" s="213"/>
      <c r="H41" s="27"/>
      <c r="I41" s="27"/>
    </row>
    <row r="42" spans="1:9" ht="34.5" customHeight="1">
      <c r="A42" s="213" t="s">
        <v>226</v>
      </c>
      <c r="B42" s="213"/>
      <c r="C42" s="213"/>
      <c r="D42" s="213"/>
      <c r="E42" s="213"/>
      <c r="F42" s="213"/>
      <c r="G42" s="213"/>
      <c r="H42" s="27"/>
      <c r="I42" s="27"/>
    </row>
    <row r="43" spans="1:9" ht="34.5" customHeight="1">
      <c r="A43" s="213" t="s">
        <v>227</v>
      </c>
      <c r="B43" s="213"/>
      <c r="C43" s="213"/>
      <c r="D43" s="213"/>
      <c r="E43" s="213"/>
      <c r="F43" s="213"/>
      <c r="G43" s="213"/>
      <c r="H43" s="27"/>
      <c r="I43" s="27"/>
    </row>
    <row r="44" spans="1:9" ht="13.5">
      <c r="A44" s="211"/>
      <c r="B44" s="211"/>
      <c r="C44" s="211"/>
      <c r="D44" s="211"/>
      <c r="E44" s="211"/>
      <c r="F44" s="211"/>
      <c r="G44" s="211"/>
      <c r="H44" s="27"/>
      <c r="I44" s="27"/>
    </row>
    <row r="45" spans="1:9" ht="18" customHeight="1">
      <c r="A45" s="38" t="s">
        <v>202</v>
      </c>
      <c r="B45" s="13"/>
      <c r="C45" s="13"/>
      <c r="D45" s="13"/>
      <c r="E45" s="65"/>
      <c r="F45" s="65"/>
      <c r="G45" s="65"/>
      <c r="H45" s="27"/>
      <c r="I45" s="27"/>
    </row>
    <row r="46" spans="1:9" ht="18" customHeight="1">
      <c r="A46" s="198"/>
      <c r="B46" s="199" t="s">
        <v>25</v>
      </c>
      <c r="C46" s="200" t="s">
        <v>203</v>
      </c>
      <c r="D46" s="199" t="s">
        <v>201</v>
      </c>
      <c r="E46" s="201" t="s">
        <v>204</v>
      </c>
      <c r="F46" s="65"/>
      <c r="G46" s="65"/>
      <c r="H46" s="27"/>
      <c r="I46" s="27"/>
    </row>
    <row r="47" spans="1:9" ht="18" customHeight="1">
      <c r="A47" s="202" t="s">
        <v>105</v>
      </c>
      <c r="B47" s="191">
        <v>1</v>
      </c>
      <c r="C47" s="192">
        <v>253827</v>
      </c>
      <c r="D47" s="191">
        <v>11</v>
      </c>
      <c r="E47" s="203">
        <v>1825193</v>
      </c>
      <c r="F47" s="65"/>
      <c r="G47" s="65"/>
      <c r="H47" s="27"/>
      <c r="I47" s="27"/>
    </row>
    <row r="48" spans="1:9" ht="18" customHeight="1">
      <c r="A48" s="202" t="s">
        <v>192</v>
      </c>
      <c r="B48" s="191">
        <v>2</v>
      </c>
      <c r="C48" s="192">
        <v>643863</v>
      </c>
      <c r="D48" s="191">
        <v>1</v>
      </c>
      <c r="E48" s="203">
        <v>240185</v>
      </c>
      <c r="F48" s="65"/>
      <c r="G48" s="65"/>
      <c r="H48" s="27"/>
      <c r="I48" s="27"/>
    </row>
    <row r="49" spans="1:9" ht="18" customHeight="1">
      <c r="A49" s="202" t="s">
        <v>205</v>
      </c>
      <c r="B49" s="191">
        <v>0.5</v>
      </c>
      <c r="C49" s="192">
        <v>95195</v>
      </c>
      <c r="D49" s="191">
        <v>5</v>
      </c>
      <c r="E49" s="203">
        <v>613441</v>
      </c>
      <c r="F49" s="65"/>
      <c r="G49" s="65"/>
      <c r="H49" s="27"/>
      <c r="I49" s="27"/>
    </row>
    <row r="50" spans="1:9" ht="18" customHeight="1">
      <c r="A50" s="202" t="s">
        <v>193</v>
      </c>
      <c r="B50" s="191">
        <v>8</v>
      </c>
      <c r="C50" s="192">
        <v>1097022</v>
      </c>
      <c r="D50" s="191">
        <v>3</v>
      </c>
      <c r="E50" s="203">
        <v>272028</v>
      </c>
      <c r="F50" s="65"/>
      <c r="G50" s="65"/>
      <c r="H50" s="27"/>
      <c r="I50" s="27"/>
    </row>
    <row r="51" spans="1:9" ht="40.5">
      <c r="A51" s="204" t="s">
        <v>207</v>
      </c>
      <c r="B51" s="194">
        <f>SUM(B47:B50)</f>
        <v>11.5</v>
      </c>
      <c r="C51" s="195">
        <f>SUM(C47:C50)</f>
        <v>2089907</v>
      </c>
      <c r="D51" s="194">
        <f>SUM(D47:D50)</f>
        <v>20</v>
      </c>
      <c r="E51" s="205">
        <f>SUM(E47:E50)</f>
        <v>2950847</v>
      </c>
      <c r="F51" s="65"/>
      <c r="G51" s="65"/>
      <c r="H51" s="27"/>
      <c r="I51" s="27"/>
    </row>
    <row r="52" spans="1:9" ht="18" customHeight="1">
      <c r="A52" s="202"/>
      <c r="B52" s="193"/>
      <c r="C52" s="192"/>
      <c r="D52" s="191"/>
      <c r="E52" s="203"/>
      <c r="F52" s="65"/>
      <c r="G52" s="65"/>
      <c r="H52" s="27"/>
      <c r="I52" s="27"/>
    </row>
    <row r="53" spans="1:9" ht="18" customHeight="1">
      <c r="A53" s="202" t="s">
        <v>137</v>
      </c>
      <c r="B53" s="193">
        <v>-1</v>
      </c>
      <c r="C53" s="192">
        <v>-398523</v>
      </c>
      <c r="D53" s="191"/>
      <c r="E53" s="203"/>
      <c r="F53" s="65"/>
      <c r="G53" s="65"/>
      <c r="H53" s="27"/>
      <c r="I53" s="27"/>
    </row>
    <row r="54" spans="1:9" ht="18" customHeight="1">
      <c r="A54" s="202" t="s">
        <v>78</v>
      </c>
      <c r="B54" s="193">
        <v>7</v>
      </c>
      <c r="C54" s="192">
        <v>2654586</v>
      </c>
      <c r="D54" s="191"/>
      <c r="E54" s="203"/>
      <c r="F54" s="65"/>
      <c r="G54" s="65"/>
      <c r="H54" s="27"/>
      <c r="I54" s="27"/>
    </row>
    <row r="55" spans="1:9" ht="18" customHeight="1">
      <c r="A55" s="202" t="s">
        <v>79</v>
      </c>
      <c r="B55" s="193">
        <v>4</v>
      </c>
      <c r="C55" s="192">
        <v>1391015</v>
      </c>
      <c r="D55" s="191"/>
      <c r="E55" s="203"/>
      <c r="F55" s="65"/>
      <c r="G55" s="65"/>
      <c r="H55" s="27"/>
      <c r="I55" s="27"/>
    </row>
    <row r="56" spans="1:9" ht="18" customHeight="1">
      <c r="A56" s="202" t="s">
        <v>141</v>
      </c>
      <c r="B56" s="193">
        <v>-3</v>
      </c>
      <c r="C56" s="192">
        <v>-1216352</v>
      </c>
      <c r="D56" s="191"/>
      <c r="E56" s="203"/>
      <c r="F56" s="65"/>
      <c r="G56" s="65"/>
      <c r="H56" s="27"/>
      <c r="I56" s="27"/>
    </row>
    <row r="57" spans="1:9" ht="18" customHeight="1">
      <c r="A57" s="202" t="s">
        <v>206</v>
      </c>
      <c r="B57" s="193">
        <v>-3</v>
      </c>
      <c r="C57" s="192">
        <v>-567604</v>
      </c>
      <c r="D57" s="191"/>
      <c r="E57" s="203"/>
      <c r="F57" s="65"/>
      <c r="G57" s="65"/>
      <c r="H57" s="27"/>
      <c r="I57" s="27"/>
    </row>
    <row r="58" spans="1:9" ht="18" customHeight="1">
      <c r="A58" s="202" t="s">
        <v>144</v>
      </c>
      <c r="B58" s="193">
        <v>4</v>
      </c>
      <c r="C58" s="192">
        <v>877766</v>
      </c>
      <c r="D58" s="191"/>
      <c r="E58" s="203"/>
      <c r="F58" s="65"/>
      <c r="G58" s="65"/>
      <c r="H58" s="27"/>
      <c r="I58" s="27"/>
    </row>
    <row r="59" spans="1:9" ht="18" customHeight="1">
      <c r="A59" s="202" t="s">
        <v>145</v>
      </c>
      <c r="B59" s="193">
        <v>2</v>
      </c>
      <c r="C59" s="192">
        <v>289147</v>
      </c>
      <c r="D59" s="191"/>
      <c r="E59" s="203"/>
      <c r="F59" s="65"/>
      <c r="G59" s="65"/>
      <c r="H59" s="27"/>
      <c r="I59" s="27"/>
    </row>
    <row r="60" spans="1:9" ht="27">
      <c r="A60" s="204" t="s">
        <v>208</v>
      </c>
      <c r="B60" s="196">
        <f>SUM(B53:B59)</f>
        <v>10</v>
      </c>
      <c r="C60" s="195">
        <f>SUM(C53:C59)</f>
        <v>3030035</v>
      </c>
      <c r="D60" s="196"/>
      <c r="E60" s="205"/>
      <c r="F60" s="65"/>
      <c r="G60" s="65"/>
      <c r="H60" s="27"/>
      <c r="I60" s="27"/>
    </row>
    <row r="61" spans="1:9" ht="13.5">
      <c r="A61" s="204"/>
      <c r="B61" s="196"/>
      <c r="C61" s="195"/>
      <c r="D61" s="196"/>
      <c r="E61" s="205"/>
      <c r="F61" s="65"/>
      <c r="G61" s="65"/>
      <c r="H61" s="27"/>
      <c r="I61" s="27"/>
    </row>
    <row r="62" spans="1:9" ht="18" customHeight="1">
      <c r="A62" s="206" t="s">
        <v>209</v>
      </c>
      <c r="B62" s="191"/>
      <c r="C62" s="197">
        <v>2177816</v>
      </c>
      <c r="D62" s="13"/>
      <c r="E62" s="203"/>
      <c r="F62" s="65"/>
      <c r="G62" s="65"/>
      <c r="H62" s="27"/>
      <c r="I62" s="27"/>
    </row>
    <row r="63" spans="1:9" ht="40.5">
      <c r="A63" s="204" t="s">
        <v>210</v>
      </c>
      <c r="B63" s="191"/>
      <c r="C63" s="195">
        <v>-1330967</v>
      </c>
      <c r="D63" s="13"/>
      <c r="E63" s="203"/>
      <c r="F63" s="65"/>
      <c r="G63" s="65"/>
      <c r="H63" s="27"/>
      <c r="I63" s="27"/>
    </row>
    <row r="64" spans="1:9" ht="40.5" customHeight="1">
      <c r="A64" s="204" t="s">
        <v>211</v>
      </c>
      <c r="B64" s="191"/>
      <c r="C64" s="195">
        <v>160023</v>
      </c>
      <c r="D64" s="13"/>
      <c r="E64" s="203"/>
      <c r="F64" s="65"/>
      <c r="G64" s="65"/>
      <c r="H64" s="27"/>
      <c r="I64" s="27"/>
    </row>
    <row r="65" spans="1:9" ht="18" customHeight="1">
      <c r="A65" s="202"/>
      <c r="B65" s="191"/>
      <c r="C65" s="192"/>
      <c r="D65" s="13"/>
      <c r="E65" s="203"/>
      <c r="F65" s="65"/>
      <c r="G65" s="65"/>
      <c r="H65" s="27"/>
      <c r="I65" s="27"/>
    </row>
    <row r="66" spans="1:9" ht="18" customHeight="1">
      <c r="A66" s="208" t="s">
        <v>8</v>
      </c>
      <c r="B66" s="209"/>
      <c r="C66" s="210">
        <f>SUM(C51,E51,C60,C62,C63,C64)</f>
        <v>9077661</v>
      </c>
      <c r="D66" s="67"/>
      <c r="E66" s="207"/>
      <c r="F66" s="65"/>
      <c r="G66" s="65"/>
      <c r="H66" s="27"/>
      <c r="I66" s="27"/>
    </row>
    <row r="67" spans="1:7" ht="18" customHeight="1">
      <c r="A67" s="26"/>
      <c r="B67" s="26"/>
      <c r="C67" s="25"/>
      <c r="D67" s="25"/>
      <c r="E67" s="25"/>
      <c r="F67" s="25"/>
      <c r="G67" s="25"/>
    </row>
    <row r="68" spans="1:2" ht="42" customHeight="1">
      <c r="A68" s="27"/>
      <c r="B68" s="27"/>
    </row>
    <row r="70" ht="28.5" customHeight="1"/>
    <row r="71" spans="1:2" ht="12.75">
      <c r="A71" s="27"/>
      <c r="B71" s="5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3.5">
      <c r="A87" s="13"/>
      <c r="B87" s="13"/>
      <c r="C87" s="13"/>
      <c r="D87" s="13"/>
      <c r="E87" s="13"/>
      <c r="F87" s="13"/>
      <c r="G87" s="13"/>
    </row>
    <row r="88" spans="1:7" ht="13.5">
      <c r="A88" s="13"/>
      <c r="B88" s="13"/>
      <c r="C88" s="13"/>
      <c r="D88" s="13"/>
      <c r="E88" s="13"/>
      <c r="F88" s="13"/>
      <c r="G88" s="13"/>
    </row>
    <row r="89" spans="1:7" ht="13.5">
      <c r="A89" s="13"/>
      <c r="B89" s="13"/>
      <c r="C89" s="13"/>
      <c r="D89" s="13"/>
      <c r="E89" s="13"/>
      <c r="F89" s="13"/>
      <c r="G89" s="13"/>
    </row>
    <row r="90" spans="1:7" ht="13.5">
      <c r="A90" s="13"/>
      <c r="B90" s="13"/>
      <c r="C90" s="13"/>
      <c r="D90" s="13"/>
      <c r="E90" s="13"/>
      <c r="F90" s="13"/>
      <c r="G90" s="13"/>
    </row>
    <row r="91" spans="1:7" ht="13.5">
      <c r="A91" s="13"/>
      <c r="B91" s="13"/>
      <c r="C91" s="13"/>
      <c r="D91" s="13"/>
      <c r="E91" s="13"/>
      <c r="F91" s="13"/>
      <c r="G91" s="13"/>
    </row>
    <row r="92" spans="1:7" ht="13.5">
      <c r="A92" s="13"/>
      <c r="B92" s="13"/>
      <c r="C92" s="13"/>
      <c r="D92" s="13"/>
      <c r="E92" s="13"/>
      <c r="F92" s="13"/>
      <c r="G92" s="13"/>
    </row>
    <row r="93" spans="1:7" ht="13.5">
      <c r="A93" s="13"/>
      <c r="B93" s="13"/>
      <c r="C93" s="13"/>
      <c r="D93" s="13"/>
      <c r="E93" s="13"/>
      <c r="F93" s="13"/>
      <c r="G93" s="13"/>
    </row>
    <row r="94" spans="1:7" ht="13.5">
      <c r="A94" s="13"/>
      <c r="B94" s="13"/>
      <c r="C94" s="13"/>
      <c r="D94" s="13"/>
      <c r="E94" s="13"/>
      <c r="F94" s="13"/>
      <c r="G94" s="13"/>
    </row>
    <row r="95" spans="1:7" ht="13.5">
      <c r="A95" s="13"/>
      <c r="B95" s="13"/>
      <c r="C95" s="13"/>
      <c r="D95" s="13"/>
      <c r="E95" s="13"/>
      <c r="F95" s="13"/>
      <c r="G95" s="13"/>
    </row>
    <row r="96" spans="1:7" ht="13.5">
      <c r="A96" s="13"/>
      <c r="B96" s="13"/>
      <c r="C96" s="13"/>
      <c r="D96" s="13"/>
      <c r="E96" s="13"/>
      <c r="F96" s="13"/>
      <c r="G96" s="13"/>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row r="425" spans="1:7" ht="12.75">
      <c r="A425" s="52"/>
      <c r="B425" s="52"/>
      <c r="C425" s="52"/>
      <c r="D425" s="52"/>
      <c r="E425" s="52"/>
      <c r="F425" s="52"/>
      <c r="G425" s="52"/>
    </row>
    <row r="426" spans="1:7" ht="12.75">
      <c r="A426" s="52"/>
      <c r="B426" s="52"/>
      <c r="C426" s="52"/>
      <c r="D426" s="52"/>
      <c r="E426" s="52"/>
      <c r="F426" s="52"/>
      <c r="G426" s="52"/>
    </row>
    <row r="427" spans="1:7" ht="12.75">
      <c r="A427" s="52"/>
      <c r="B427" s="52"/>
      <c r="C427" s="52"/>
      <c r="D427" s="52"/>
      <c r="E427" s="52"/>
      <c r="F427" s="52"/>
      <c r="G427" s="52"/>
    </row>
    <row r="428" spans="1:7" ht="12.75">
      <c r="A428" s="52"/>
      <c r="B428" s="52"/>
      <c r="C428" s="52"/>
      <c r="D428" s="52"/>
      <c r="E428" s="52"/>
      <c r="F428" s="52"/>
      <c r="G428" s="52"/>
    </row>
    <row r="429" spans="1:7" ht="12.75">
      <c r="A429" s="52"/>
      <c r="B429" s="52"/>
      <c r="C429" s="52"/>
      <c r="D429" s="52"/>
      <c r="E429" s="52"/>
      <c r="F429" s="52"/>
      <c r="G429" s="52"/>
    </row>
    <row r="430" spans="1:7" ht="12.75">
      <c r="A430" s="52"/>
      <c r="B430" s="52"/>
      <c r="C430" s="52"/>
      <c r="D430" s="52"/>
      <c r="E430" s="52"/>
      <c r="F430" s="52"/>
      <c r="G430" s="52"/>
    </row>
    <row r="431" spans="1:7" ht="12.75">
      <c r="A431" s="52"/>
      <c r="B431" s="52"/>
      <c r="C431" s="52"/>
      <c r="D431" s="52"/>
      <c r="E431" s="52"/>
      <c r="F431" s="52"/>
      <c r="G431" s="52"/>
    </row>
    <row r="432" spans="1:7" ht="12.75">
      <c r="A432" s="52"/>
      <c r="B432" s="52"/>
      <c r="C432" s="52"/>
      <c r="D432" s="52"/>
      <c r="E432" s="52"/>
      <c r="F432" s="52"/>
      <c r="G432" s="52"/>
    </row>
    <row r="433" spans="1:7" ht="12.75">
      <c r="A433" s="52"/>
      <c r="B433" s="52"/>
      <c r="C433" s="52"/>
      <c r="D433" s="52"/>
      <c r="E433" s="52"/>
      <c r="F433" s="52"/>
      <c r="G433" s="52"/>
    </row>
    <row r="434" spans="1:7" ht="12.75">
      <c r="A434" s="52"/>
      <c r="B434" s="52"/>
      <c r="C434" s="52"/>
      <c r="D434" s="52"/>
      <c r="E434" s="52"/>
      <c r="F434" s="52"/>
      <c r="G434" s="52"/>
    </row>
    <row r="435" spans="1:7" ht="12.75">
      <c r="A435" s="52"/>
      <c r="B435" s="52"/>
      <c r="C435" s="52"/>
      <c r="D435" s="52"/>
      <c r="E435" s="52"/>
      <c r="F435" s="52"/>
      <c r="G435" s="52"/>
    </row>
    <row r="436" spans="1:7" ht="12.75">
      <c r="A436" s="52"/>
      <c r="B436" s="52"/>
      <c r="C436" s="52"/>
      <c r="D436" s="52"/>
      <c r="E436" s="52"/>
      <c r="F436" s="52"/>
      <c r="G436" s="52"/>
    </row>
    <row r="437" spans="1:7" ht="12.75">
      <c r="A437" s="52"/>
      <c r="B437" s="52"/>
      <c r="C437" s="52"/>
      <c r="D437" s="52"/>
      <c r="E437" s="52"/>
      <c r="F437" s="52"/>
      <c r="G437" s="52"/>
    </row>
    <row r="438" spans="1:7" ht="12.75">
      <c r="A438" s="52"/>
      <c r="B438" s="52"/>
      <c r="C438" s="52"/>
      <c r="D438" s="52"/>
      <c r="E438" s="52"/>
      <c r="F438" s="52"/>
      <c r="G438" s="52"/>
    </row>
    <row r="439" spans="1:7" ht="12.75">
      <c r="A439" s="52"/>
      <c r="B439" s="52"/>
      <c r="C439" s="52"/>
      <c r="D439" s="52"/>
      <c r="E439" s="52"/>
      <c r="F439" s="52"/>
      <c r="G439" s="52"/>
    </row>
    <row r="440" spans="1:7" ht="12.75">
      <c r="A440" s="52"/>
      <c r="B440" s="52"/>
      <c r="C440" s="52"/>
      <c r="D440" s="52"/>
      <c r="E440" s="52"/>
      <c r="F440" s="52"/>
      <c r="G440" s="52"/>
    </row>
    <row r="441" spans="1:7" ht="12.75">
      <c r="A441" s="52"/>
      <c r="B441" s="52"/>
      <c r="C441" s="52"/>
      <c r="D441" s="52"/>
      <c r="E441" s="52"/>
      <c r="F441" s="52"/>
      <c r="G441" s="52"/>
    </row>
    <row r="442" spans="1:7" ht="12.75">
      <c r="A442" s="52"/>
      <c r="B442" s="52"/>
      <c r="C442" s="52"/>
      <c r="D442" s="52"/>
      <c r="E442" s="52"/>
      <c r="F442" s="52"/>
      <c r="G442" s="52"/>
    </row>
    <row r="443" spans="1:7" ht="12.75">
      <c r="A443" s="52"/>
      <c r="B443" s="52"/>
      <c r="C443" s="52"/>
      <c r="D443" s="52"/>
      <c r="E443" s="52"/>
      <c r="F443" s="52"/>
      <c r="G443" s="52"/>
    </row>
    <row r="444" spans="1:7" ht="12.75">
      <c r="A444" s="52"/>
      <c r="B444" s="52"/>
      <c r="C444" s="52"/>
      <c r="D444" s="52"/>
      <c r="E444" s="52"/>
      <c r="F444" s="52"/>
      <c r="G444" s="52"/>
    </row>
    <row r="445" spans="1:7" ht="12.75">
      <c r="A445" s="52"/>
      <c r="B445" s="52"/>
      <c r="C445" s="52"/>
      <c r="D445" s="52"/>
      <c r="E445" s="52"/>
      <c r="F445" s="52"/>
      <c r="G445" s="52"/>
    </row>
    <row r="446" spans="1:7" ht="12.75">
      <c r="A446" s="52"/>
      <c r="B446" s="52"/>
      <c r="C446" s="52"/>
      <c r="D446" s="52"/>
      <c r="E446" s="52"/>
      <c r="F446" s="52"/>
      <c r="G446" s="52"/>
    </row>
  </sheetData>
  <sheetProtection/>
  <mergeCells count="8">
    <mergeCell ref="A39:G39"/>
    <mergeCell ref="A43:G43"/>
    <mergeCell ref="A12:G13"/>
    <mergeCell ref="A37:G37"/>
    <mergeCell ref="A38:G38"/>
    <mergeCell ref="A40:G40"/>
    <mergeCell ref="A41:G41"/>
    <mergeCell ref="A42:G42"/>
  </mergeCells>
  <printOptions/>
  <pageMargins left="0.5" right="0.5" top="0.5" bottom="0.5" header="0.5" footer="0.5"/>
  <pageSetup fitToHeight="2" horizontalDpi="600" verticalDpi="600" orientation="portrait" scale="80" r:id="rId1"/>
  <headerFooter alignWithMargins="0">
    <oddFooter>&amp;CPage &amp;P</oddFooter>
  </headerFooter>
  <rowBreaks count="1" manualBreakCount="1">
    <brk id="43" max="6" man="1"/>
  </rowBreaks>
</worksheet>
</file>

<file path=xl/worksheets/sheet2.xml><?xml version="1.0" encoding="utf-8"?>
<worksheet xmlns="http://schemas.openxmlformats.org/spreadsheetml/2006/main" xmlns:r="http://schemas.openxmlformats.org/officeDocument/2006/relationships">
  <dimension ref="A1:AC86"/>
  <sheetViews>
    <sheetView zoomScalePageLayoutView="0" workbookViewId="0" topLeftCell="A7">
      <selection activeCell="F30" sqref="F30"/>
    </sheetView>
  </sheetViews>
  <sheetFormatPr defaultColWidth="12.28125" defaultRowHeight="12.75"/>
  <cols>
    <col min="1" max="1" width="35.8515625" style="85" bestFit="1" customWidth="1"/>
    <col min="2" max="3" width="14.57421875" style="104" bestFit="1" customWidth="1"/>
    <col min="4" max="4" width="15.28125" style="104" customWidth="1"/>
    <col min="5" max="5" width="11.140625" style="104" bestFit="1" customWidth="1"/>
    <col min="6" max="6" width="13.140625" style="104" customWidth="1"/>
    <col min="7" max="7" width="14.57421875" style="104" bestFit="1" customWidth="1"/>
    <col min="8" max="8" width="10.8515625" style="104" bestFit="1" customWidth="1"/>
    <col min="9" max="9" width="11.28125" style="104" bestFit="1" customWidth="1"/>
    <col min="10" max="10" width="12.421875" style="104" bestFit="1" customWidth="1"/>
    <col min="11" max="11" width="6.57421875" style="104" customWidth="1"/>
    <col min="12" max="12" width="11.57421875" style="104" bestFit="1" customWidth="1"/>
    <col min="13" max="13" width="9.57421875" style="104" customWidth="1"/>
    <col min="14" max="14" width="12.140625" style="104" hidden="1" customWidth="1"/>
    <col min="15" max="15" width="10.00390625" style="104" hidden="1" customWidth="1"/>
    <col min="16" max="16" width="9.28125" style="104" hidden="1" customWidth="1"/>
    <col min="17" max="17" width="9.57421875" style="0" customWidth="1"/>
    <col min="18" max="18" width="13.140625" style="85" customWidth="1"/>
    <col min="19" max="19" width="24.8515625" style="85" bestFit="1" customWidth="1"/>
    <col min="20" max="20" width="2.7109375" style="85" customWidth="1"/>
    <col min="21" max="16384" width="12.28125" style="85" customWidth="1"/>
  </cols>
  <sheetData>
    <row r="1" spans="1:16" ht="15.75">
      <c r="A1" s="220" t="s">
        <v>88</v>
      </c>
      <c r="B1" s="220"/>
      <c r="C1" s="220"/>
      <c r="D1" s="220"/>
      <c r="E1" s="220"/>
      <c r="F1" s="220"/>
      <c r="G1" s="220"/>
      <c r="H1" s="220"/>
      <c r="I1" s="220"/>
      <c r="J1" s="220"/>
      <c r="K1" s="220"/>
      <c r="L1" s="220"/>
      <c r="M1" s="220"/>
      <c r="N1" s="220"/>
      <c r="O1" s="220"/>
      <c r="P1" s="220"/>
    </row>
    <row r="2" spans="1:16" ht="15.75">
      <c r="A2" s="98"/>
      <c r="B2" s="98"/>
      <c r="C2" s="98"/>
      <c r="D2" s="98"/>
      <c r="E2" s="221" t="s">
        <v>89</v>
      </c>
      <c r="F2" s="221"/>
      <c r="G2" s="221"/>
      <c r="H2" s="221"/>
      <c r="I2" s="221"/>
      <c r="J2" s="99"/>
      <c r="K2" s="98"/>
      <c r="L2" s="98"/>
      <c r="M2" s="98"/>
      <c r="N2" s="98"/>
      <c r="O2" s="98"/>
      <c r="P2" s="98"/>
    </row>
    <row r="3" spans="1:28" s="74" customFormat="1" ht="39" customHeight="1">
      <c r="A3" s="74" t="s">
        <v>90</v>
      </c>
      <c r="B3" s="100" t="s">
        <v>91</v>
      </c>
      <c r="C3" s="100" t="s">
        <v>92</v>
      </c>
      <c r="D3" s="100" t="s">
        <v>93</v>
      </c>
      <c r="E3" s="101" t="s">
        <v>94</v>
      </c>
      <c r="F3" s="101" t="s">
        <v>95</v>
      </c>
      <c r="G3" s="102" t="s">
        <v>96</v>
      </c>
      <c r="H3" s="102" t="s">
        <v>95</v>
      </c>
      <c r="I3" s="102" t="s">
        <v>97</v>
      </c>
      <c r="J3" s="102" t="s">
        <v>95</v>
      </c>
      <c r="K3" s="100" t="s">
        <v>98</v>
      </c>
      <c r="L3" s="100" t="s">
        <v>95</v>
      </c>
      <c r="M3" s="100" t="s">
        <v>99</v>
      </c>
      <c r="N3" s="100" t="s">
        <v>100</v>
      </c>
      <c r="O3" s="100" t="s">
        <v>101</v>
      </c>
      <c r="P3" s="100" t="s">
        <v>102</v>
      </c>
      <c r="Q3" s="74" t="s">
        <v>103</v>
      </c>
      <c r="R3" s="74" t="s">
        <v>104</v>
      </c>
      <c r="U3" s="74" t="s">
        <v>186</v>
      </c>
      <c r="V3" s="74" t="s">
        <v>187</v>
      </c>
      <c r="W3" s="74" t="s">
        <v>190</v>
      </c>
      <c r="X3" s="74" t="s">
        <v>188</v>
      </c>
      <c r="Y3" s="74" t="s">
        <v>189</v>
      </c>
      <c r="AA3" s="74" t="s">
        <v>194</v>
      </c>
      <c r="AB3" s="74" t="s">
        <v>195</v>
      </c>
    </row>
    <row r="4" spans="1:10" ht="12" customHeight="1">
      <c r="A4" s="103" t="s">
        <v>105</v>
      </c>
      <c r="G4" s="105"/>
      <c r="H4" s="105"/>
      <c r="I4" s="105"/>
      <c r="J4" s="105"/>
    </row>
    <row r="5" spans="1:28" ht="11.25" customHeight="1">
      <c r="A5" s="106" t="s">
        <v>106</v>
      </c>
      <c r="B5" s="104">
        <v>52.5</v>
      </c>
      <c r="C5" s="104">
        <v>50</v>
      </c>
      <c r="D5" s="107">
        <f>C5*'Personnel Costs'!$AA$23</f>
        <v>12358537.68</v>
      </c>
      <c r="E5" s="104">
        <v>0</v>
      </c>
      <c r="F5" s="107">
        <f>E5*'Personnel Costs'!$AA$23</f>
        <v>0</v>
      </c>
      <c r="G5" s="105">
        <v>3</v>
      </c>
      <c r="H5" s="107">
        <f>G5*'Personnel Costs'!$N$23</f>
        <v>368395.0854</v>
      </c>
      <c r="I5" s="105"/>
      <c r="J5" s="105"/>
      <c r="M5" s="104">
        <f>+C5+E5+G5+I5+K5</f>
        <v>53</v>
      </c>
      <c r="O5" s="104">
        <f>+G5+I5</f>
        <v>3</v>
      </c>
      <c r="Q5" s="72">
        <f>C5+E5+K5</f>
        <v>50</v>
      </c>
      <c r="U5" s="107">
        <f>($E5)*'Personnel Costs'!$L$23</f>
        <v>0</v>
      </c>
      <c r="V5" s="107">
        <f>($G5)*'Personnel Costs'!$L$23</f>
        <v>374719.75894800003</v>
      </c>
      <c r="W5" s="107">
        <f>($I5)*'Personnel Costs'!$L$23</f>
        <v>0</v>
      </c>
      <c r="X5" s="107">
        <f>$E5*'Personnel Costs'!$W$23</f>
        <v>0</v>
      </c>
      <c r="Y5" s="107">
        <f>AB5-X5</f>
        <v>0</v>
      </c>
      <c r="Z5" s="107"/>
      <c r="AA5" s="107">
        <f>($E5+$G5+$I5)*'Personnel Costs'!$L$23</f>
        <v>374719.75894800003</v>
      </c>
      <c r="AB5" s="107">
        <f>($E5+$I5/2)*'Personnel Costs'!$W$23</f>
        <v>0</v>
      </c>
    </row>
    <row r="6" spans="1:28" ht="11.25" customHeight="1">
      <c r="A6" s="106" t="s">
        <v>107</v>
      </c>
      <c r="B6" s="104">
        <v>9.5</v>
      </c>
      <c r="C6" s="104">
        <v>9</v>
      </c>
      <c r="D6" s="107">
        <f>C6*'Personnel Costs'!$AA$23</f>
        <v>2224536.7824</v>
      </c>
      <c r="G6" s="105"/>
      <c r="H6" s="105"/>
      <c r="I6" s="105"/>
      <c r="J6" s="105"/>
      <c r="M6" s="104">
        <f aca="true" t="shared" si="0" ref="M6:M18">+C6+E6+G6+I6+K6</f>
        <v>9</v>
      </c>
      <c r="O6" s="104">
        <f aca="true" t="shared" si="1" ref="O6:O28">+G6+I6</f>
        <v>0</v>
      </c>
      <c r="Q6" s="72">
        <f aca="true" t="shared" si="2" ref="Q6:Q49">C6+E6+K6</f>
        <v>9</v>
      </c>
      <c r="U6" s="107">
        <f>($E6)*'Personnel Costs'!$L$23</f>
        <v>0</v>
      </c>
      <c r="V6" s="107">
        <f>($G6)*'Personnel Costs'!$L$23</f>
        <v>0</v>
      </c>
      <c r="W6" s="107">
        <f>($I6)*'Personnel Costs'!$L$23</f>
        <v>0</v>
      </c>
      <c r="X6" s="107">
        <f>$E6*'Personnel Costs'!$W$23</f>
        <v>0</v>
      </c>
      <c r="Y6" s="107">
        <f aca="true" t="shared" si="3" ref="Y6:Y28">AB6-X6</f>
        <v>0</v>
      </c>
      <c r="Z6" s="107"/>
      <c r="AA6" s="107">
        <f>($E6+$G6+$I6)*'Personnel Costs'!$L$23</f>
        <v>0</v>
      </c>
      <c r="AB6" s="107">
        <f>($E6+$I6/2)*'Personnel Costs'!$W$23</f>
        <v>0</v>
      </c>
    </row>
    <row r="7" spans="1:29" ht="11.25" customHeight="1">
      <c r="A7" s="106" t="s">
        <v>108</v>
      </c>
      <c r="B7" s="104">
        <f>21.5-3.8</f>
        <v>17.7</v>
      </c>
      <c r="C7" s="104">
        <v>14</v>
      </c>
      <c r="D7" s="107">
        <f>C7*'Personnel Costs'!$AA$23</f>
        <v>3460390.5504</v>
      </c>
      <c r="E7" s="104">
        <v>-2</v>
      </c>
      <c r="F7" s="107">
        <f>E7*'Personnel Costs'!$AA$23</f>
        <v>-494341.5072</v>
      </c>
      <c r="G7" s="105"/>
      <c r="H7" s="105"/>
      <c r="I7" s="105">
        <v>4</v>
      </c>
      <c r="J7" s="107">
        <f>I7*'Personnel Costs'!$N$23+(I7*'Personnel Costs'!$Y$23/2)</f>
        <v>739938.2308</v>
      </c>
      <c r="M7" s="104">
        <f t="shared" si="0"/>
        <v>16</v>
      </c>
      <c r="O7" s="104">
        <f t="shared" si="1"/>
        <v>4</v>
      </c>
      <c r="Q7" s="72">
        <f t="shared" si="2"/>
        <v>12</v>
      </c>
      <c r="U7" s="107">
        <f>($E7)*'Personnel Costs'!$L$23</f>
        <v>-249813.172632</v>
      </c>
      <c r="V7" s="107">
        <f>($G7)*'Personnel Costs'!$L$23</f>
        <v>0</v>
      </c>
      <c r="W7" s="107">
        <f>($I7)*'Personnel Costs'!$L$23</f>
        <v>499626.345264</v>
      </c>
      <c r="X7" s="107">
        <f>$E7*'Personnel Costs'!$W$23</f>
        <v>-257840.19924622</v>
      </c>
      <c r="Y7" s="107">
        <f t="shared" si="3"/>
        <v>257840.19924622</v>
      </c>
      <c r="Z7" s="107"/>
      <c r="AA7" s="107">
        <f>($E7+$G7+$I7)*'Personnel Costs'!$L$23</f>
        <v>249813.172632</v>
      </c>
      <c r="AB7" s="107">
        <f>($E7+$I7/2)*'Personnel Costs'!$W$23</f>
        <v>0</v>
      </c>
      <c r="AC7" s="107"/>
    </row>
    <row r="8" spans="1:29" ht="11.25" customHeight="1">
      <c r="A8" s="106" t="s">
        <v>109</v>
      </c>
      <c r="B8" s="104">
        <v>9.8</v>
      </c>
      <c r="C8" s="104">
        <v>10</v>
      </c>
      <c r="D8" s="107">
        <f>C8*'Personnel Costs'!$AA$23</f>
        <v>2471707.536</v>
      </c>
      <c r="E8" s="104">
        <v>-2</v>
      </c>
      <c r="F8" s="107">
        <f>E8*'Personnel Costs'!$AA$23</f>
        <v>-494341.5072</v>
      </c>
      <c r="G8" s="105"/>
      <c r="H8" s="107">
        <f>G8*'Personnel Costs'!$N$23</f>
        <v>0</v>
      </c>
      <c r="I8" s="105">
        <v>1</v>
      </c>
      <c r="J8" s="107">
        <f>I8*'Personnel Costs'!$N$23+(I8*'Personnel Costs'!$Y$23/2)</f>
        <v>184984.5577</v>
      </c>
      <c r="M8" s="104">
        <f t="shared" si="0"/>
        <v>9</v>
      </c>
      <c r="O8" s="104">
        <f t="shared" si="1"/>
        <v>1</v>
      </c>
      <c r="Q8" s="72">
        <f t="shared" si="2"/>
        <v>8</v>
      </c>
      <c r="U8" s="107">
        <f>($E8)*'Personnel Costs'!$L$23</f>
        <v>-249813.172632</v>
      </c>
      <c r="V8" s="107">
        <f>($G8)*'Personnel Costs'!$L$23</f>
        <v>0</v>
      </c>
      <c r="W8" s="107">
        <f>($I8)*'Personnel Costs'!$L$23</f>
        <v>124906.586316</v>
      </c>
      <c r="X8" s="107">
        <f>$E8*'Personnel Costs'!$W$23</f>
        <v>-257840.19924622</v>
      </c>
      <c r="Y8" s="107">
        <f t="shared" si="3"/>
        <v>64460.049811555014</v>
      </c>
      <c r="Z8" s="107"/>
      <c r="AA8" s="107">
        <f>($E8+$G8+$I8)*'Personnel Costs'!$L$23</f>
        <v>-124906.586316</v>
      </c>
      <c r="AB8" s="107">
        <f>($E8+$I8/2)*'Personnel Costs'!$W$23</f>
        <v>-193380.14943466499</v>
      </c>
      <c r="AC8" s="107"/>
    </row>
    <row r="9" spans="1:29" ht="11.25" customHeight="1">
      <c r="A9" s="106" t="s">
        <v>110</v>
      </c>
      <c r="B9" s="104">
        <v>11</v>
      </c>
      <c r="C9" s="104">
        <v>10</v>
      </c>
      <c r="D9" s="107">
        <f>C9*'Personnel Costs'!$AA$23</f>
        <v>2471707.536</v>
      </c>
      <c r="E9" s="104">
        <v>3</v>
      </c>
      <c r="F9" s="107">
        <f>E9*'Personnel Costs'!$AA$23</f>
        <v>741512.2608</v>
      </c>
      <c r="G9" s="105"/>
      <c r="H9" s="105"/>
      <c r="I9" s="105">
        <v>2</v>
      </c>
      <c r="J9" s="107">
        <f>I9*'Personnel Costs'!$N$23+(I9*'Personnel Costs'!$Y$23/2)</f>
        <v>369969.1154</v>
      </c>
      <c r="M9" s="104">
        <f t="shared" si="0"/>
        <v>15</v>
      </c>
      <c r="O9" s="104">
        <f t="shared" si="1"/>
        <v>2</v>
      </c>
      <c r="Q9" s="72">
        <f t="shared" si="2"/>
        <v>13</v>
      </c>
      <c r="U9" s="107">
        <f>($E9)*'Personnel Costs'!$L$23</f>
        <v>374719.75894800003</v>
      </c>
      <c r="V9" s="107">
        <f>($G9)*'Personnel Costs'!$L$23</f>
        <v>0</v>
      </c>
      <c r="W9" s="107">
        <f>($I9)*'Personnel Costs'!$L$23</f>
        <v>249813.172632</v>
      </c>
      <c r="X9" s="107">
        <f>$E9*'Personnel Costs'!$W$23</f>
        <v>386760.29886932997</v>
      </c>
      <c r="Y9" s="107">
        <f t="shared" si="3"/>
        <v>128920.09962311003</v>
      </c>
      <c r="Z9" s="107"/>
      <c r="AA9" s="107">
        <f>($E9+$G9+$I9)*'Personnel Costs'!$L$23</f>
        <v>624532.93158</v>
      </c>
      <c r="AB9" s="107">
        <f>($E9+$I9/2)*'Personnel Costs'!$W$23</f>
        <v>515680.39849244</v>
      </c>
      <c r="AC9" s="107"/>
    </row>
    <row r="10" spans="1:28" ht="11.25" customHeight="1">
      <c r="A10" s="106" t="s">
        <v>111</v>
      </c>
      <c r="B10" s="104">
        <v>24.1</v>
      </c>
      <c r="C10" s="104">
        <v>23</v>
      </c>
      <c r="D10" s="107">
        <f>C10*'Personnel Costs'!$AA$23</f>
        <v>5684927.3328</v>
      </c>
      <c r="E10" s="104">
        <v>4</v>
      </c>
      <c r="F10" s="107">
        <f>E10*'Personnel Costs'!$AA$23</f>
        <v>988683.0144</v>
      </c>
      <c r="G10" s="105"/>
      <c r="H10" s="107">
        <f>G10*'Personnel Costs'!$AA$23</f>
        <v>0</v>
      </c>
      <c r="I10" s="105"/>
      <c r="J10" s="107">
        <f>I10*'Personnel Costs'!$N$23+(I10*'Personnel Costs'!$Y23/2)</f>
        <v>0</v>
      </c>
      <c r="M10" s="104">
        <f t="shared" si="0"/>
        <v>27</v>
      </c>
      <c r="O10" s="104">
        <f t="shared" si="1"/>
        <v>0</v>
      </c>
      <c r="Q10" s="72">
        <f t="shared" si="2"/>
        <v>27</v>
      </c>
      <c r="U10" s="107">
        <f>($E10)*'Personnel Costs'!$L$23</f>
        <v>499626.345264</v>
      </c>
      <c r="V10" s="107">
        <f>($G10)*'Personnel Costs'!$L$23</f>
        <v>0</v>
      </c>
      <c r="W10" s="107">
        <f>($I10)*'Personnel Costs'!$L$23</f>
        <v>0</v>
      </c>
      <c r="X10" s="107">
        <f>$E10*'Personnel Costs'!$W$23</f>
        <v>515680.39849244</v>
      </c>
      <c r="Y10" s="107">
        <f t="shared" si="3"/>
        <v>0</v>
      </c>
      <c r="Z10" s="107"/>
      <c r="AA10" s="107">
        <f>($E10+$G10+$I10)*'Personnel Costs'!$L$23</f>
        <v>499626.345264</v>
      </c>
      <c r="AB10" s="107">
        <f>($E10+$I10/2)*'Personnel Costs'!$W$23</f>
        <v>515680.39849244</v>
      </c>
    </row>
    <row r="11" spans="1:28" ht="11.25" customHeight="1">
      <c r="A11" s="106" t="s">
        <v>112</v>
      </c>
      <c r="B11" s="104">
        <v>1</v>
      </c>
      <c r="C11" s="104">
        <v>3</v>
      </c>
      <c r="D11" s="107">
        <f>C11*'Personnel Costs'!$AA$23</f>
        <v>741512.2608</v>
      </c>
      <c r="E11" s="104">
        <v>-1</v>
      </c>
      <c r="F11" s="107">
        <f>E11*'Personnel Costs'!$AA$23</f>
        <v>-247170.7536</v>
      </c>
      <c r="G11" s="105"/>
      <c r="H11" s="105"/>
      <c r="I11" s="105"/>
      <c r="J11" s="105"/>
      <c r="M11" s="104">
        <f t="shared" si="0"/>
        <v>2</v>
      </c>
      <c r="O11" s="104">
        <f t="shared" si="1"/>
        <v>0</v>
      </c>
      <c r="Q11" s="72">
        <f>C11+E11+K11</f>
        <v>2</v>
      </c>
      <c r="U11" s="107">
        <f>($E11)*'Personnel Costs'!$L$23</f>
        <v>-124906.586316</v>
      </c>
      <c r="V11" s="107">
        <f>($G11)*'Personnel Costs'!$L$23</f>
        <v>0</v>
      </c>
      <c r="W11" s="107">
        <f>($I11)*'Personnel Costs'!$L$23</f>
        <v>0</v>
      </c>
      <c r="X11" s="107">
        <f>$E11*'Personnel Costs'!$W$23</f>
        <v>-128920.09962311</v>
      </c>
      <c r="Y11" s="107">
        <f t="shared" si="3"/>
        <v>0</v>
      </c>
      <c r="Z11" s="107"/>
      <c r="AA11" s="107">
        <f>($E11+$G11+$I11)*'Personnel Costs'!$L$23</f>
        <v>-124906.586316</v>
      </c>
      <c r="AB11" s="107">
        <f>($E11+$I11/2)*'Personnel Costs'!$W$23</f>
        <v>-128920.09962311</v>
      </c>
    </row>
    <row r="12" spans="1:28" ht="11.25" customHeight="1">
      <c r="A12" s="106" t="s">
        <v>113</v>
      </c>
      <c r="B12" s="104">
        <v>3.9</v>
      </c>
      <c r="C12" s="104">
        <v>4</v>
      </c>
      <c r="D12" s="107">
        <f>C12*'Personnel Costs'!$AA$23</f>
        <v>988683.0144</v>
      </c>
      <c r="G12" s="105"/>
      <c r="H12" s="105"/>
      <c r="I12" s="105"/>
      <c r="J12" s="105"/>
      <c r="M12" s="104">
        <f t="shared" si="0"/>
        <v>4</v>
      </c>
      <c r="O12" s="104">
        <f t="shared" si="1"/>
        <v>0</v>
      </c>
      <c r="Q12" s="72">
        <f t="shared" si="2"/>
        <v>4</v>
      </c>
      <c r="U12" s="107">
        <f>($E12)*'Personnel Costs'!$L$23</f>
        <v>0</v>
      </c>
      <c r="V12" s="107">
        <f>($G12)*'Personnel Costs'!$L$23</f>
        <v>0</v>
      </c>
      <c r="W12" s="107">
        <f>($I12)*'Personnel Costs'!$L$23</f>
        <v>0</v>
      </c>
      <c r="X12" s="107">
        <f>$E12*'Personnel Costs'!$W$23</f>
        <v>0</v>
      </c>
      <c r="Y12" s="107">
        <f t="shared" si="3"/>
        <v>0</v>
      </c>
      <c r="Z12" s="107"/>
      <c r="AA12" s="107">
        <f>($E12+$G12+$I12)*'Personnel Costs'!$L$23</f>
        <v>0</v>
      </c>
      <c r="AB12" s="107">
        <f>($E12+$I12/2)*'Personnel Costs'!$W$23</f>
        <v>0</v>
      </c>
    </row>
    <row r="13" spans="1:28" ht="11.25" customHeight="1">
      <c r="A13" s="106" t="s">
        <v>114</v>
      </c>
      <c r="B13" s="104">
        <v>2.5</v>
      </c>
      <c r="C13" s="104">
        <v>2.5</v>
      </c>
      <c r="D13" s="107">
        <f>C13*'Personnel Costs'!$AA$23</f>
        <v>617926.884</v>
      </c>
      <c r="M13" s="104">
        <f t="shared" si="0"/>
        <v>2.5</v>
      </c>
      <c r="O13" s="104">
        <f t="shared" si="1"/>
        <v>0</v>
      </c>
      <c r="Q13" s="72">
        <f t="shared" si="2"/>
        <v>2.5</v>
      </c>
      <c r="U13" s="107">
        <f>($E13)*'Personnel Costs'!$L$23</f>
        <v>0</v>
      </c>
      <c r="V13" s="107">
        <f>($G13)*'Personnel Costs'!$L$23</f>
        <v>0</v>
      </c>
      <c r="W13" s="107">
        <f>($I13)*'Personnel Costs'!$L$23</f>
        <v>0</v>
      </c>
      <c r="X13" s="107">
        <f>$E13*'Personnel Costs'!$W$23</f>
        <v>0</v>
      </c>
      <c r="Y13" s="107">
        <f t="shared" si="3"/>
        <v>0</v>
      </c>
      <c r="Z13" s="107"/>
      <c r="AA13" s="107">
        <f>($E13+$G13+$I13)*'Personnel Costs'!$L$23</f>
        <v>0</v>
      </c>
      <c r="AB13" s="107">
        <f>($E13+$I13/2)*'Personnel Costs'!$W$23</f>
        <v>0</v>
      </c>
    </row>
    <row r="14" spans="1:28" ht="11.25" customHeight="1">
      <c r="A14" s="106" t="s">
        <v>115</v>
      </c>
      <c r="B14" s="104">
        <v>3</v>
      </c>
      <c r="C14" s="104">
        <v>3</v>
      </c>
      <c r="D14" s="107">
        <f>C14*'Personnel Costs'!$AA$23</f>
        <v>741512.2608</v>
      </c>
      <c r="E14" s="104">
        <v>-1</v>
      </c>
      <c r="F14" s="107">
        <f>E14*'Personnel Costs'!$AA$23</f>
        <v>-247170.7536</v>
      </c>
      <c r="G14" s="104">
        <v>1</v>
      </c>
      <c r="H14" s="107">
        <f>G14*'Personnel Costs'!$N$23</f>
        <v>122798.3618</v>
      </c>
      <c r="M14" s="104">
        <f t="shared" si="0"/>
        <v>3</v>
      </c>
      <c r="O14" s="104">
        <f t="shared" si="1"/>
        <v>1</v>
      </c>
      <c r="Q14" s="72">
        <f t="shared" si="2"/>
        <v>2</v>
      </c>
      <c r="S14" s="108"/>
      <c r="T14" s="108"/>
      <c r="U14" s="107">
        <f>($E14)*'Personnel Costs'!$L$23</f>
        <v>-124906.586316</v>
      </c>
      <c r="V14" s="107">
        <f>($G14)*'Personnel Costs'!$L$23</f>
        <v>124906.586316</v>
      </c>
      <c r="W14" s="107">
        <f>($I14)*'Personnel Costs'!$L$23</f>
        <v>0</v>
      </c>
      <c r="X14" s="107">
        <f>$E14*'Personnel Costs'!$W$23</f>
        <v>-128920.09962311</v>
      </c>
      <c r="Y14" s="107">
        <f t="shared" si="3"/>
        <v>0</v>
      </c>
      <c r="Z14" s="107"/>
      <c r="AA14" s="107">
        <f>($E14+$G14+$I14)*'Personnel Costs'!$L$23</f>
        <v>0</v>
      </c>
      <c r="AB14" s="107">
        <f>($E14+$I14/2)*'Personnel Costs'!$W$23</f>
        <v>-128920.09962311</v>
      </c>
    </row>
    <row r="15" spans="1:28" ht="11.25" customHeight="1">
      <c r="A15" s="106" t="s">
        <v>116</v>
      </c>
      <c r="B15" s="104">
        <v>3.4</v>
      </c>
      <c r="C15" s="104">
        <v>4</v>
      </c>
      <c r="D15" s="107">
        <f>C15*'Personnel Costs'!$AA$23</f>
        <v>988683.0144</v>
      </c>
      <c r="M15" s="104">
        <f t="shared" si="0"/>
        <v>4</v>
      </c>
      <c r="O15" s="104">
        <f t="shared" si="1"/>
        <v>0</v>
      </c>
      <c r="Q15" s="72">
        <f t="shared" si="2"/>
        <v>4</v>
      </c>
      <c r="S15" s="108"/>
      <c r="T15" s="108"/>
      <c r="U15" s="107">
        <f>($E15)*'Personnel Costs'!$L$23</f>
        <v>0</v>
      </c>
      <c r="V15" s="107">
        <f>($G15)*'Personnel Costs'!$L$23</f>
        <v>0</v>
      </c>
      <c r="W15" s="107">
        <f>($I15)*'Personnel Costs'!$L$23</f>
        <v>0</v>
      </c>
      <c r="X15" s="107">
        <f>$E15*'Personnel Costs'!$W$23</f>
        <v>0</v>
      </c>
      <c r="Y15" s="107">
        <f t="shared" si="3"/>
        <v>0</v>
      </c>
      <c r="Z15" s="107"/>
      <c r="AA15" s="107">
        <f>($E15+$G15+$I15)*'Personnel Costs'!$L$23</f>
        <v>0</v>
      </c>
      <c r="AB15" s="107">
        <f>($E15+$I15/2)*'Personnel Costs'!$W$23</f>
        <v>0</v>
      </c>
    </row>
    <row r="16" spans="1:28" ht="11.25" customHeight="1">
      <c r="A16" s="106" t="s">
        <v>117</v>
      </c>
      <c r="B16" s="104">
        <v>2</v>
      </c>
      <c r="C16" s="104">
        <v>2</v>
      </c>
      <c r="D16" s="107">
        <f>C16*'Personnel Costs'!$AA$23</f>
        <v>494341.5072</v>
      </c>
      <c r="M16" s="104">
        <f t="shared" si="0"/>
        <v>2</v>
      </c>
      <c r="O16" s="104">
        <f t="shared" si="1"/>
        <v>0</v>
      </c>
      <c r="Q16" s="72">
        <f t="shared" si="2"/>
        <v>2</v>
      </c>
      <c r="U16" s="107">
        <f>($E16)*'Personnel Costs'!$L$23</f>
        <v>0</v>
      </c>
      <c r="V16" s="107">
        <f>($G16)*'Personnel Costs'!$L$23</f>
        <v>0</v>
      </c>
      <c r="W16" s="107">
        <f>($I16)*'Personnel Costs'!$L$23</f>
        <v>0</v>
      </c>
      <c r="X16" s="107">
        <f>$E16*'Personnel Costs'!$W$23</f>
        <v>0</v>
      </c>
      <c r="Y16" s="107">
        <f t="shared" si="3"/>
        <v>0</v>
      </c>
      <c r="Z16" s="107"/>
      <c r="AA16" s="107">
        <f>($E16+$G16+$I16)*'Personnel Costs'!$L$23</f>
        <v>0</v>
      </c>
      <c r="AB16" s="107">
        <f>($E16+$I16/2)*'Personnel Costs'!$W$23</f>
        <v>0</v>
      </c>
    </row>
    <row r="17" spans="1:28" ht="11.25" customHeight="1">
      <c r="A17" s="106" t="s">
        <v>118</v>
      </c>
      <c r="B17" s="104">
        <v>3.8</v>
      </c>
      <c r="C17" s="104">
        <v>3.8</v>
      </c>
      <c r="D17" s="107">
        <f>C17*'Personnel Costs'!$AA$23</f>
        <v>939248.86368</v>
      </c>
      <c r="M17" s="104">
        <f t="shared" si="0"/>
        <v>3.8</v>
      </c>
      <c r="O17" s="104">
        <f t="shared" si="1"/>
        <v>0</v>
      </c>
      <c r="Q17" s="72">
        <f t="shared" si="2"/>
        <v>3.8</v>
      </c>
      <c r="U17" s="107">
        <f>($E17)*'Personnel Costs'!$L$23</f>
        <v>0</v>
      </c>
      <c r="V17" s="107">
        <f>($G17)*'Personnel Costs'!$L$23</f>
        <v>0</v>
      </c>
      <c r="W17" s="107">
        <f>($I17)*'Personnel Costs'!$L$23</f>
        <v>0</v>
      </c>
      <c r="X17" s="107">
        <f>$E17*'Personnel Costs'!$W$23</f>
        <v>0</v>
      </c>
      <c r="Y17" s="107">
        <f t="shared" si="3"/>
        <v>0</v>
      </c>
      <c r="Z17" s="107"/>
      <c r="AA17" s="107">
        <f>($E17+$G17+$I17)*'Personnel Costs'!$L$23</f>
        <v>0</v>
      </c>
      <c r="AB17" s="107">
        <f>($E17+$I17/2)*'Personnel Costs'!$W$23</f>
        <v>0</v>
      </c>
    </row>
    <row r="18" spans="1:28" ht="11.25" customHeight="1">
      <c r="A18" s="106" t="s">
        <v>119</v>
      </c>
      <c r="B18" s="104">
        <v>5</v>
      </c>
      <c r="C18" s="104">
        <v>5.1</v>
      </c>
      <c r="D18" s="107">
        <f>C18*'Personnel Costs'!$AA$23</f>
        <v>1260570.8433599998</v>
      </c>
      <c r="M18" s="104">
        <f t="shared" si="0"/>
        <v>5.1</v>
      </c>
      <c r="O18" s="104">
        <f t="shared" si="1"/>
        <v>0</v>
      </c>
      <c r="Q18" s="72">
        <f t="shared" si="2"/>
        <v>5.1</v>
      </c>
      <c r="U18" s="107">
        <f>($E18)*'Personnel Costs'!$L$23</f>
        <v>0</v>
      </c>
      <c r="V18" s="107">
        <f>($G18)*'Personnel Costs'!$L$23</f>
        <v>0</v>
      </c>
      <c r="W18" s="107">
        <f>($I18)*'Personnel Costs'!$L$23</f>
        <v>0</v>
      </c>
      <c r="X18" s="107">
        <f>$E18*'Personnel Costs'!$W$23</f>
        <v>0</v>
      </c>
      <c r="Y18" s="107">
        <f t="shared" si="3"/>
        <v>0</v>
      </c>
      <c r="Z18" s="107"/>
      <c r="AA18" s="107">
        <f>($E18+$G18+$I18)*'Personnel Costs'!$L$23</f>
        <v>0</v>
      </c>
      <c r="AB18" s="107">
        <f>($E18+$I18/2)*'Personnel Costs'!$W$23</f>
        <v>0</v>
      </c>
    </row>
    <row r="19" spans="1:28" ht="11.25" customHeight="1">
      <c r="A19" s="109" t="s">
        <v>120</v>
      </c>
      <c r="B19" s="110"/>
      <c r="C19" s="110"/>
      <c r="D19" s="111"/>
      <c r="E19" s="110"/>
      <c r="F19" s="111">
        <f>E20*'Personnel Costs'!$N$23*-0.75</f>
        <v>-92098.77135</v>
      </c>
      <c r="G19" s="110"/>
      <c r="H19" s="111">
        <f>-G20*'Personnel Costs'!$N$23*0.75</f>
        <v>-368395.0854</v>
      </c>
      <c r="I19" s="110"/>
      <c r="J19" s="111"/>
      <c r="K19" s="110"/>
      <c r="L19" s="110"/>
      <c r="M19" s="110"/>
      <c r="N19" s="110"/>
      <c r="O19" s="110"/>
      <c r="P19" s="110"/>
      <c r="Q19" s="112"/>
      <c r="R19" s="113">
        <f>+F19+H19</f>
        <v>-460493.85675</v>
      </c>
      <c r="S19" s="89" t="s">
        <v>176</v>
      </c>
      <c r="T19" s="89"/>
      <c r="U19" s="186">
        <f>SUM(U5:U18)</f>
        <v>124906.58631600003</v>
      </c>
      <c r="V19" s="186">
        <f>SUM(V5:V18)</f>
        <v>499626.345264</v>
      </c>
      <c r="W19" s="186">
        <f>SUM(W5:W18)</f>
        <v>874346.104212</v>
      </c>
      <c r="X19" s="186">
        <f>SUM(X5:X18)</f>
        <v>128920.09962310997</v>
      </c>
      <c r="Y19" s="107">
        <f t="shared" si="3"/>
        <v>451220.348680885</v>
      </c>
      <c r="Z19" s="107"/>
      <c r="AA19" s="186">
        <f>SUM(AA5:AA18)</f>
        <v>1498879.035792</v>
      </c>
      <c r="AB19" s="186">
        <f>SUM(AB5:AB18)</f>
        <v>580140.448303995</v>
      </c>
    </row>
    <row r="20" spans="1:27" ht="11.25" customHeight="1">
      <c r="A20" s="114" t="s">
        <v>121</v>
      </c>
      <c r="B20" s="115">
        <f>SUM(B5:B19)</f>
        <v>149.20000000000002</v>
      </c>
      <c r="C20" s="115">
        <f aca="true" t="shared" si="4" ref="C20:K20">SUM(C5:C19)</f>
        <v>143.4</v>
      </c>
      <c r="D20" s="116">
        <f t="shared" si="4"/>
        <v>35444286.06624</v>
      </c>
      <c r="E20" s="115">
        <f t="shared" si="4"/>
        <v>1</v>
      </c>
      <c r="F20" s="116">
        <f t="shared" si="4"/>
        <v>155071.98225000006</v>
      </c>
      <c r="G20" s="115">
        <f t="shared" si="4"/>
        <v>4</v>
      </c>
      <c r="H20" s="116">
        <f t="shared" si="4"/>
        <v>122798.36180000001</v>
      </c>
      <c r="I20" s="115">
        <f t="shared" si="4"/>
        <v>7</v>
      </c>
      <c r="J20" s="116">
        <f t="shared" si="4"/>
        <v>1294891.9039</v>
      </c>
      <c r="K20" s="115">
        <f t="shared" si="4"/>
        <v>0</v>
      </c>
      <c r="L20" s="115"/>
      <c r="M20" s="117">
        <f>SUM(M5:M18)</f>
        <v>155.4</v>
      </c>
      <c r="N20" s="115"/>
      <c r="O20" s="115"/>
      <c r="P20" s="115"/>
      <c r="Q20" s="117">
        <f>SUM(Q5:Q18)</f>
        <v>144.4</v>
      </c>
      <c r="R20" s="118">
        <f>+M20-B20</f>
        <v>6.199999999999989</v>
      </c>
      <c r="S20" s="89" t="s">
        <v>175</v>
      </c>
      <c r="U20" s="186">
        <f>R19</f>
        <v>-460493.85675</v>
      </c>
      <c r="V20" s="185"/>
      <c r="W20" s="185"/>
      <c r="Y20" s="107">
        <f>AB20-X20</f>
        <v>0</v>
      </c>
      <c r="Z20" s="107"/>
      <c r="AA20" s="186">
        <f>R19</f>
        <v>-460493.85675</v>
      </c>
    </row>
    <row r="21" spans="1:26" ht="11.25" customHeight="1">
      <c r="A21" s="106" t="s">
        <v>122</v>
      </c>
      <c r="B21" s="104">
        <v>25</v>
      </c>
      <c r="C21" s="104">
        <v>27</v>
      </c>
      <c r="D21" s="107">
        <f>C21*'Personnel Costs'!$AA$23</f>
        <v>6673610.3472</v>
      </c>
      <c r="M21" s="104">
        <f>+C21+E21+K21</f>
        <v>27</v>
      </c>
      <c r="O21" s="104">
        <f t="shared" si="1"/>
        <v>0</v>
      </c>
      <c r="Q21" s="72">
        <f t="shared" si="2"/>
        <v>27</v>
      </c>
      <c r="Y21" s="107">
        <f t="shared" si="3"/>
        <v>0</v>
      </c>
      <c r="Z21" s="107"/>
    </row>
    <row r="22" spans="1:26" ht="11.25" customHeight="1">
      <c r="A22" s="106" t="s">
        <v>123</v>
      </c>
      <c r="B22" s="104">
        <v>9</v>
      </c>
      <c r="C22" s="104">
        <v>9</v>
      </c>
      <c r="D22" s="107">
        <f>C22*'Personnel Costs'!$AA$23</f>
        <v>2224536.7824</v>
      </c>
      <c r="M22" s="104">
        <f>+C22+E22+K22</f>
        <v>9</v>
      </c>
      <c r="O22" s="104">
        <f t="shared" si="1"/>
        <v>0</v>
      </c>
      <c r="Q22" s="72">
        <f t="shared" si="2"/>
        <v>9</v>
      </c>
      <c r="R22" s="108"/>
      <c r="Y22" s="107">
        <f t="shared" si="3"/>
        <v>0</v>
      </c>
      <c r="Z22" s="107"/>
    </row>
    <row r="23" spans="1:26" ht="11.25" customHeight="1">
      <c r="A23" s="119" t="s">
        <v>124</v>
      </c>
      <c r="B23" s="120">
        <f>+B20+B21+B22</f>
        <v>183.20000000000002</v>
      </c>
      <c r="C23" s="120">
        <f>+C20+C21+C22</f>
        <v>179.4</v>
      </c>
      <c r="D23" s="121">
        <f>D21+D22</f>
        <v>8898147.1296</v>
      </c>
      <c r="E23" s="120">
        <f>+E20+E21+E22</f>
        <v>1</v>
      </c>
      <c r="F23" s="120"/>
      <c r="G23" s="120">
        <f>SUM(G20:G22)</f>
        <v>4</v>
      </c>
      <c r="H23" s="120"/>
      <c r="I23" s="120">
        <f>SUM(I20:I22)</f>
        <v>7</v>
      </c>
      <c r="J23" s="120"/>
      <c r="K23" s="120">
        <f>+K20+K21+K22</f>
        <v>0</v>
      </c>
      <c r="L23" s="120"/>
      <c r="M23" s="122">
        <f>+M20+M21+M22</f>
        <v>191.4</v>
      </c>
      <c r="N23" s="120"/>
      <c r="O23" s="120">
        <f>+G23+I23</f>
        <v>11</v>
      </c>
      <c r="P23" s="120">
        <f>+M23+O23</f>
        <v>202.4</v>
      </c>
      <c r="Q23" s="122">
        <f>+Q20+Q21+Q22</f>
        <v>180.4</v>
      </c>
      <c r="R23" s="108"/>
      <c r="S23" s="108"/>
      <c r="T23" s="108"/>
      <c r="Y23" s="107">
        <f t="shared" si="3"/>
        <v>0</v>
      </c>
      <c r="Z23" s="107"/>
    </row>
    <row r="24" spans="1:29" ht="11.25" customHeight="1">
      <c r="A24" s="103" t="s">
        <v>69</v>
      </c>
      <c r="B24" s="104">
        <v>34</v>
      </c>
      <c r="C24" s="104">
        <v>35</v>
      </c>
      <c r="D24" s="107">
        <f>C24*'Personnel Costs'!$AA25</f>
        <v>6498347.52</v>
      </c>
      <c r="E24" s="104">
        <f>+E23*0.5</f>
        <v>0.5</v>
      </c>
      <c r="F24" s="107">
        <f>E24*'Personnel Costs'!$AA25</f>
        <v>92833.536</v>
      </c>
      <c r="G24" s="104">
        <v>2</v>
      </c>
      <c r="H24" s="107">
        <f>G24*'Personnel Costs'!$N25</f>
        <v>184355.072</v>
      </c>
      <c r="I24" s="104">
        <v>3</v>
      </c>
      <c r="J24" s="107">
        <f>I24*'Personnel Costs'!$N25+(I24*'Personnel Costs'!Y25/2)</f>
        <v>416766.912</v>
      </c>
      <c r="M24" s="104">
        <f>+C24+E24+G24+I24+K24</f>
        <v>40.5</v>
      </c>
      <c r="O24" s="104">
        <f t="shared" si="1"/>
        <v>5</v>
      </c>
      <c r="P24" s="104">
        <f>+M24+O24</f>
        <v>45.5</v>
      </c>
      <c r="Q24" s="72">
        <f t="shared" si="2"/>
        <v>35.5</v>
      </c>
      <c r="R24" s="108">
        <f>SUM(Q24:Q26)-SUM(B24:B26)</f>
        <v>-5.800000000000011</v>
      </c>
      <c r="S24" s="85" t="s">
        <v>191</v>
      </c>
      <c r="U24" s="107">
        <f>($E24)*'Personnel Costs'!$L$25</f>
        <v>46836.672</v>
      </c>
      <c r="V24" s="107">
        <f>($G24)*'Personnel Costs'!$L$25</f>
        <v>187346.688</v>
      </c>
      <c r="W24" s="107">
        <f>($I24)*'Personnel Costs'!$L$25</f>
        <v>281020.032</v>
      </c>
      <c r="X24" s="107">
        <f>$E24*'Personnel Costs'!$W$25</f>
        <v>48358.091839999994</v>
      </c>
      <c r="Y24" s="107">
        <f t="shared" si="3"/>
        <v>145074.27551999997</v>
      </c>
      <c r="Z24" s="107"/>
      <c r="AA24" s="107">
        <f>($E24+$G24+$I24)*'Personnel Costs'!$L$25</f>
        <v>515203.392</v>
      </c>
      <c r="AB24" s="107">
        <f>($E24+$I24/2)*'Personnel Costs'!$W$25</f>
        <v>193432.36735999997</v>
      </c>
      <c r="AC24" s="107"/>
    </row>
    <row r="25" spans="1:28" ht="11.25" customHeight="1">
      <c r="A25" s="103" t="s">
        <v>71</v>
      </c>
      <c r="B25" s="123">
        <v>20.1</v>
      </c>
      <c r="C25" s="124">
        <v>20.6</v>
      </c>
      <c r="D25" s="107">
        <f>C25*'Personnel Costs'!$AA27</f>
        <v>3824741.6832</v>
      </c>
      <c r="G25" s="105"/>
      <c r="H25" s="105"/>
      <c r="I25" s="105"/>
      <c r="J25" s="105"/>
      <c r="M25" s="104">
        <f>+C25+E25+G25+I25+K25</f>
        <v>20.6</v>
      </c>
      <c r="Q25" s="72">
        <f>C25+E25+K25</f>
        <v>20.6</v>
      </c>
      <c r="R25" s="108"/>
      <c r="U25" s="107">
        <f>($E25)*'Personnel Costs'!$L$25</f>
        <v>0</v>
      </c>
      <c r="V25" s="107">
        <f>($G25)*'Personnel Costs'!$L$25</f>
        <v>0</v>
      </c>
      <c r="W25" s="107">
        <f>($I25)*'Personnel Costs'!$L$25</f>
        <v>0</v>
      </c>
      <c r="X25" s="107">
        <f>$E25*'Personnel Costs'!$W$25</f>
        <v>0</v>
      </c>
      <c r="Y25" s="107">
        <f t="shared" si="3"/>
        <v>0</v>
      </c>
      <c r="Z25" s="107"/>
      <c r="AA25" s="107">
        <f>($E25+$G25+$I25)*'Personnel Costs'!$L$25</f>
        <v>0</v>
      </c>
      <c r="AB25" s="107">
        <f>($E25+$I25/2)*'Personnel Costs'!$W$25</f>
        <v>0</v>
      </c>
    </row>
    <row r="26" spans="1:28" ht="11.25" customHeight="1">
      <c r="A26" s="103" t="s">
        <v>72</v>
      </c>
      <c r="B26" s="123">
        <v>33.8</v>
      </c>
      <c r="C26" s="124">
        <v>26</v>
      </c>
      <c r="D26" s="107">
        <f>C26*'Personnel Costs'!$AA28</f>
        <v>4349908.085227354</v>
      </c>
      <c r="G26" s="105"/>
      <c r="H26" s="105"/>
      <c r="I26" s="105"/>
      <c r="J26" s="105"/>
      <c r="M26" s="104">
        <f>+C26+E26+G26+I26+K26</f>
        <v>26</v>
      </c>
      <c r="Q26" s="72">
        <f t="shared" si="2"/>
        <v>26</v>
      </c>
      <c r="R26" s="72"/>
      <c r="U26" s="107">
        <f>($E26)*'Personnel Costs'!$L$25</f>
        <v>0</v>
      </c>
      <c r="V26" s="107">
        <f>($G26)*'Personnel Costs'!$L$25</f>
        <v>0</v>
      </c>
      <c r="W26" s="107">
        <f>($I26)*'Personnel Costs'!$L$25</f>
        <v>0</v>
      </c>
      <c r="X26" s="107">
        <f>$E26*'Personnel Costs'!$W$25</f>
        <v>0</v>
      </c>
      <c r="Y26" s="107">
        <f t="shared" si="3"/>
        <v>0</v>
      </c>
      <c r="Z26" s="107"/>
      <c r="AA26" s="107">
        <f>($E26+$G26+$I26)*'Personnel Costs'!$L$25</f>
        <v>0</v>
      </c>
      <c r="AB26" s="107">
        <f>($E26+$I26/2)*'Personnel Costs'!$W$25</f>
        <v>0</v>
      </c>
    </row>
    <row r="27" spans="1:29" ht="11.25" customHeight="1">
      <c r="A27" s="103" t="s">
        <v>125</v>
      </c>
      <c r="B27" s="104">
        <v>23.8</v>
      </c>
      <c r="C27" s="104">
        <v>22</v>
      </c>
      <c r="D27" s="107">
        <f>C27*'Personnel Costs'!$AA24</f>
        <v>6890396.409600001</v>
      </c>
      <c r="E27" s="104">
        <v>2</v>
      </c>
      <c r="F27" s="107">
        <f>E27*'Personnel Costs'!$AA24</f>
        <v>626399.6736000001</v>
      </c>
      <c r="G27" s="105"/>
      <c r="H27" s="105"/>
      <c r="I27" s="105">
        <v>1</v>
      </c>
      <c r="J27" s="107">
        <f>I27*'Personnel Costs'!$N24+(I27*'Personnel Costs'!Y24/2)</f>
        <v>234436.04260000002</v>
      </c>
      <c r="M27" s="104">
        <f aca="true" t="shared" si="5" ref="M27:M32">+C27+E27+G27+I27+K27</f>
        <v>25</v>
      </c>
      <c r="O27" s="104">
        <f t="shared" si="1"/>
        <v>1</v>
      </c>
      <c r="P27" s="104">
        <f>+M27+O27</f>
        <v>26</v>
      </c>
      <c r="Q27" s="72">
        <f t="shared" si="2"/>
        <v>24</v>
      </c>
      <c r="R27" s="108"/>
      <c r="S27" s="85" t="s">
        <v>192</v>
      </c>
      <c r="U27" s="107">
        <f>($E27)*'Personnel Costs'!$L$24</f>
        <v>316875.901296</v>
      </c>
      <c r="V27" s="107">
        <f>($G27)*'Personnel Costs'!$L$24</f>
        <v>0</v>
      </c>
      <c r="W27" s="107">
        <f>($I27)*'Personnel Costs'!$L$24</f>
        <v>158437.950648</v>
      </c>
      <c r="X27" s="107">
        <f>$E27*'Personnel Costs'!$W$24</f>
        <v>326987.11825516</v>
      </c>
      <c r="Y27" s="107">
        <f t="shared" si="3"/>
        <v>81746.77956379001</v>
      </c>
      <c r="Z27" s="107"/>
      <c r="AA27" s="107">
        <f>($E27+$G27+$I27)*'Personnel Costs'!$L$24</f>
        <v>475313.851944</v>
      </c>
      <c r="AB27" s="107">
        <f>($E27+$I27/2)*'Personnel Costs'!$W$24</f>
        <v>408733.89781895</v>
      </c>
      <c r="AC27" s="107"/>
    </row>
    <row r="28" spans="1:29" ht="11.25" customHeight="1">
      <c r="A28" s="103" t="s">
        <v>126</v>
      </c>
      <c r="B28" s="104">
        <v>43.21</v>
      </c>
      <c r="C28" s="104">
        <v>29</v>
      </c>
      <c r="D28" s="107">
        <f>C28*'Personnel Costs'!$AA26</f>
        <v>3886831.488</v>
      </c>
      <c r="E28" s="125">
        <v>8</v>
      </c>
      <c r="F28" s="107">
        <f>E28*'Personnel Costs'!$AA26</f>
        <v>1072229.376</v>
      </c>
      <c r="G28" s="105">
        <v>1</v>
      </c>
      <c r="H28" s="107">
        <f>G28*'Personnel Costs'!$N26</f>
        <v>66468.336</v>
      </c>
      <c r="I28" s="105">
        <v>2</v>
      </c>
      <c r="J28" s="107">
        <f>I28*'Personnel Costs'!$N26+(I28*'Personnel Costs'!Y26/2)</f>
        <v>200497.00799999997</v>
      </c>
      <c r="M28" s="104">
        <f t="shared" si="5"/>
        <v>40</v>
      </c>
      <c r="O28" s="104">
        <f t="shared" si="1"/>
        <v>3</v>
      </c>
      <c r="P28" s="104">
        <f>+M28+O28</f>
        <v>43</v>
      </c>
      <c r="Q28" s="72">
        <f t="shared" si="2"/>
        <v>37</v>
      </c>
      <c r="R28" s="118">
        <f>+B28-M28</f>
        <v>3.210000000000001</v>
      </c>
      <c r="S28" s="108" t="s">
        <v>193</v>
      </c>
      <c r="T28" s="108"/>
      <c r="U28" s="107">
        <f>($E28)*'Personnel Costs'!$L$26</f>
        <v>539599.6799999999</v>
      </c>
      <c r="V28" s="107">
        <f>($G28)*'Personnel Costs'!$L$26</f>
        <v>67449.95999999999</v>
      </c>
      <c r="W28" s="107">
        <f>($I28)*'Personnel Costs'!$L$26</f>
        <v>134899.91999999998</v>
      </c>
      <c r="X28" s="107">
        <f>$E28*'Personnel Costs'!$W$26</f>
        <v>557422.58832</v>
      </c>
      <c r="Y28" s="107">
        <f t="shared" si="3"/>
        <v>69677.82354000001</v>
      </c>
      <c r="Z28" s="107"/>
      <c r="AA28" s="107">
        <f>($E28+$G28+$I28)*'Personnel Costs'!$L$26</f>
        <v>741949.5599999999</v>
      </c>
      <c r="AB28" s="107">
        <f>($E28+$I28/2)*'Personnel Costs'!$W$26</f>
        <v>627100.41186</v>
      </c>
      <c r="AC28" s="107"/>
    </row>
    <row r="29" spans="1:28" ht="11.25" customHeight="1">
      <c r="A29" s="126" t="s">
        <v>127</v>
      </c>
      <c r="B29" s="110"/>
      <c r="C29" s="110"/>
      <c r="D29" s="111"/>
      <c r="E29" s="110"/>
      <c r="F29" s="111">
        <f>'Personnel Costs'!$N26*R28*0.75</f>
        <v>160022.51892000003</v>
      </c>
      <c r="G29" s="127"/>
      <c r="H29" s="127"/>
      <c r="I29" s="127"/>
      <c r="J29" s="111"/>
      <c r="K29" s="110"/>
      <c r="L29" s="110"/>
      <c r="M29" s="110"/>
      <c r="N29" s="110"/>
      <c r="O29" s="110"/>
      <c r="P29" s="110"/>
      <c r="Q29" s="112"/>
      <c r="R29" s="113">
        <f>+F29+H29</f>
        <v>160022.51892000003</v>
      </c>
      <c r="S29" s="187" t="s">
        <v>178</v>
      </c>
      <c r="T29" s="187"/>
      <c r="U29" s="186">
        <f>SUM(U24:U28)</f>
        <v>903312.253296</v>
      </c>
      <c r="V29" s="186">
        <f>SUM(V24:V28)</f>
        <v>254796.648</v>
      </c>
      <c r="W29" s="186">
        <f>SUM(W24:W28)</f>
        <v>574357.902648</v>
      </c>
      <c r="X29" s="186">
        <f>SUM(X24:X28)</f>
        <v>932767.79841516</v>
      </c>
      <c r="Y29" s="186">
        <f>SUM(Y24:Y28)</f>
        <v>296498.87862379</v>
      </c>
      <c r="Z29" s="186"/>
      <c r="AA29" s="186">
        <f>SUM(AA24:AA28)</f>
        <v>1732466.803944</v>
      </c>
      <c r="AB29" s="186">
        <f>SUM(AB24:AB28)</f>
        <v>1229266.67703895</v>
      </c>
    </row>
    <row r="30" spans="1:28" ht="11.25" customHeight="1">
      <c r="A30" s="128" t="s">
        <v>128</v>
      </c>
      <c r="B30" s="129">
        <f>SUM(B24:B28)</f>
        <v>154.91</v>
      </c>
      <c r="C30" s="129">
        <f>SUM(C24:C28)</f>
        <v>132.6</v>
      </c>
      <c r="D30" s="130">
        <f>SUM(D24:D28)</f>
        <v>25450225.186027355</v>
      </c>
      <c r="E30" s="129">
        <f>SUM(E24:E28)</f>
        <v>10.5</v>
      </c>
      <c r="F30" s="130">
        <f>SUM(F24:F29)</f>
        <v>1951485.1045199998</v>
      </c>
      <c r="G30" s="129">
        <f>SUM(G24:G28)</f>
        <v>3</v>
      </c>
      <c r="H30" s="130">
        <f>SUM(H24:H29)</f>
        <v>250823.408</v>
      </c>
      <c r="I30" s="129">
        <f>SUM(I24:I28)</f>
        <v>6</v>
      </c>
      <c r="J30" s="130">
        <f>SUM(J24:J29)</f>
        <v>851699.9626</v>
      </c>
      <c r="K30" s="129"/>
      <c r="L30" s="129"/>
      <c r="M30" s="129">
        <f>SUM(M24:M28)</f>
        <v>152.1</v>
      </c>
      <c r="N30" s="129"/>
      <c r="O30" s="129">
        <f>SUM(O24:O28)</f>
        <v>9</v>
      </c>
      <c r="P30" s="131">
        <f>SUM(P24:P28)</f>
        <v>114.5</v>
      </c>
      <c r="Q30" s="129">
        <f>SUM(Q24:Q28)</f>
        <v>143.1</v>
      </c>
      <c r="R30" s="108"/>
      <c r="S30" s="89" t="s">
        <v>177</v>
      </c>
      <c r="T30" s="89"/>
      <c r="U30" s="186">
        <f>R29</f>
        <v>160022.51892000003</v>
      </c>
      <c r="V30" s="186"/>
      <c r="W30" s="186"/>
      <c r="X30" s="89"/>
      <c r="Y30" s="89"/>
      <c r="Z30" s="89"/>
      <c r="AA30" s="186">
        <f>R29</f>
        <v>160022.51892000003</v>
      </c>
      <c r="AB30" s="89"/>
    </row>
    <row r="31" spans="1:28" ht="11.25" customHeight="1">
      <c r="A31" s="103" t="s">
        <v>129</v>
      </c>
      <c r="B31" s="104">
        <v>1</v>
      </c>
      <c r="C31" s="104">
        <v>1.5</v>
      </c>
      <c r="D31" s="132">
        <f>'Personnel Costs'!AA18+0.5*'Personnel Costs'!AA6</f>
        <v>271597.59290095477</v>
      </c>
      <c r="K31" s="104">
        <v>-0.5</v>
      </c>
      <c r="L31" s="132">
        <f>K31*'Personnel Costs'!AA6</f>
        <v>-70623.70439127274</v>
      </c>
      <c r="M31" s="104">
        <f t="shared" si="5"/>
        <v>1</v>
      </c>
      <c r="P31" s="104">
        <f>+M31+O31</f>
        <v>1</v>
      </c>
      <c r="Q31" s="72">
        <f t="shared" si="2"/>
        <v>1</v>
      </c>
      <c r="S31" s="187" t="s">
        <v>179</v>
      </c>
      <c r="T31" s="187"/>
      <c r="U31" s="188">
        <f>$K31*'Personnel Costs'!$L$6</f>
        <v>-35557.91543800364</v>
      </c>
      <c r="V31" s="188"/>
      <c r="W31" s="188"/>
      <c r="X31" s="188">
        <f>$K31*'Personnel Costs'!$W$6</f>
        <v>-36728.811581790535</v>
      </c>
      <c r="Y31" s="107">
        <f>AB31-X31</f>
        <v>0</v>
      </c>
      <c r="Z31" s="107"/>
      <c r="AA31" s="188">
        <f>$K31*'Personnel Costs'!$L$6</f>
        <v>-35557.91543800364</v>
      </c>
      <c r="AB31" s="188">
        <f>$K31*'Personnel Costs'!$W$6</f>
        <v>-36728.811581790535</v>
      </c>
    </row>
    <row r="32" spans="1:18" ht="11.25" customHeight="1">
      <c r="A32" s="103" t="s">
        <v>130</v>
      </c>
      <c r="B32" s="104">
        <v>8.65</v>
      </c>
      <c r="C32" s="104">
        <v>9.75</v>
      </c>
      <c r="D32" s="107">
        <f>4*'Personnel Costs'!AA19+5.75*'Personnel Costs'!AA20</f>
        <v>1694362.1256</v>
      </c>
      <c r="M32" s="104">
        <f t="shared" si="5"/>
        <v>9.75</v>
      </c>
      <c r="P32" s="104">
        <f>+M32</f>
        <v>9.75</v>
      </c>
      <c r="Q32" s="72">
        <f t="shared" si="2"/>
        <v>9.75</v>
      </c>
      <c r="R32" s="108"/>
    </row>
    <row r="33" spans="1:20" ht="11.25" customHeight="1">
      <c r="A33" s="133" t="s">
        <v>131</v>
      </c>
      <c r="B33" s="120">
        <f>+B23+B30+B31+B32</f>
        <v>347.76</v>
      </c>
      <c r="C33" s="120">
        <f>+C23+C30+C31+C32</f>
        <v>323.25</v>
      </c>
      <c r="D33" s="121">
        <f>SUM(D31:D32,D30,D23,D20)</f>
        <v>71758618.1003683</v>
      </c>
      <c r="E33" s="120">
        <f>+E23+E30+E31+E32</f>
        <v>11.5</v>
      </c>
      <c r="F33" s="121">
        <f>SUM(F31:F32,F30,F23,F20)</f>
        <v>2106557.08677</v>
      </c>
      <c r="G33" s="120">
        <f>+G23+G30+G31+G32</f>
        <v>7</v>
      </c>
      <c r="H33" s="121">
        <f>SUM(H31:H32,H30,H23,H20)</f>
        <v>373621.7698</v>
      </c>
      <c r="I33" s="120">
        <f>+I23+I30+I31+I32</f>
        <v>13</v>
      </c>
      <c r="J33" s="121">
        <f>SUM(J31:J32,J30,J23,J20)</f>
        <v>2146591.8665</v>
      </c>
      <c r="K33" s="120">
        <f>+K23+K30+K31+K32</f>
        <v>-0.5</v>
      </c>
      <c r="L33" s="121">
        <f>SUM(L31:L32,L30,L23,L20)</f>
        <v>-70623.70439127274</v>
      </c>
      <c r="M33" s="120">
        <f>+M23+M30+M31+M32</f>
        <v>354.25</v>
      </c>
      <c r="N33" s="120">
        <f>+N23+N30+N31+N32</f>
        <v>0</v>
      </c>
      <c r="O33" s="120">
        <f>+O23+O30+O31+O32</f>
        <v>20</v>
      </c>
      <c r="P33" s="120">
        <f>+P23+P30+P31+P32</f>
        <v>327.65</v>
      </c>
      <c r="Q33" s="120">
        <f>+Q23+Q30+Q31+Q32</f>
        <v>334.25</v>
      </c>
      <c r="R33" s="108"/>
      <c r="S33" s="108"/>
      <c r="T33" s="108"/>
    </row>
    <row r="34" spans="1:28" ht="11.25" customHeight="1">
      <c r="A34" s="103" t="s">
        <v>132</v>
      </c>
      <c r="B34" s="104">
        <v>2</v>
      </c>
      <c r="C34" s="104">
        <v>2</v>
      </c>
      <c r="D34" s="132">
        <f>'Personnel Costs'!AA37+'Personnel Costs'!AA18</f>
        <v>437248.822349682</v>
      </c>
      <c r="M34" s="104">
        <f>+C34+E34+K34</f>
        <v>2</v>
      </c>
      <c r="Q34" s="72">
        <f t="shared" si="2"/>
        <v>2</v>
      </c>
      <c r="U34" s="107"/>
      <c r="V34" s="107"/>
      <c r="W34" s="107"/>
      <c r="X34" s="107"/>
      <c r="Y34" s="107"/>
      <c r="Z34" s="107"/>
      <c r="AA34" s="107"/>
      <c r="AB34" s="107"/>
    </row>
    <row r="35" spans="1:28" ht="11.25" customHeight="1">
      <c r="A35" s="103" t="s">
        <v>133</v>
      </c>
      <c r="B35" s="104">
        <v>7.6</v>
      </c>
      <c r="C35" s="104">
        <v>8</v>
      </c>
      <c r="D35" s="132">
        <f>2*'Personnel Costs'!AA6+'Personnel Costs'!AA18+'Personnel Costs'!AA7+'Personnel Costs'!AA11+'Personnel Costs'!AA12+'Personnel Costs'!AA15+'Personnel Costs'!AA35</f>
        <v>1512836.266881173</v>
      </c>
      <c r="M35" s="104">
        <f>+C35+E35+K35</f>
        <v>8</v>
      </c>
      <c r="Q35" s="72">
        <f t="shared" si="2"/>
        <v>8</v>
      </c>
      <c r="S35" s="108"/>
      <c r="T35" s="108"/>
      <c r="U35" s="107"/>
      <c r="V35" s="107"/>
      <c r="W35" s="107"/>
      <c r="X35" s="107"/>
      <c r="Y35" s="107"/>
      <c r="Z35" s="107"/>
      <c r="AA35" s="107"/>
      <c r="AB35" s="107"/>
    </row>
    <row r="36" spans="1:28" ht="11.25" customHeight="1">
      <c r="A36" s="103" t="s">
        <v>134</v>
      </c>
      <c r="B36" s="104">
        <v>3</v>
      </c>
      <c r="C36" s="104">
        <v>3</v>
      </c>
      <c r="D36" s="107">
        <f>'Personnel Costs'!AA13+'Personnel Costs'!AA14+'Personnel Costs'!AA36</f>
        <v>721203.5916287999</v>
      </c>
      <c r="M36" s="104">
        <f>+C36+E36+K36</f>
        <v>3</v>
      </c>
      <c r="Q36" s="72">
        <f t="shared" si="2"/>
        <v>3</v>
      </c>
      <c r="U36" s="107"/>
      <c r="V36" s="107"/>
      <c r="W36" s="107"/>
      <c r="X36" s="107"/>
      <c r="Y36" s="107"/>
      <c r="Z36" s="107"/>
      <c r="AA36" s="107"/>
      <c r="AB36" s="107"/>
    </row>
    <row r="37" spans="1:28" ht="11.25" customHeight="1">
      <c r="A37" s="103" t="s">
        <v>135</v>
      </c>
      <c r="B37" s="104">
        <v>1</v>
      </c>
      <c r="C37" s="125">
        <v>1</v>
      </c>
      <c r="D37" s="132">
        <f>C37*'Personnel Costs'!AA31</f>
        <v>471807.1824</v>
      </c>
      <c r="E37" s="125"/>
      <c r="M37" s="104">
        <f aca="true" t="shared" si="6" ref="M37:M42">+C37+E37+K37</f>
        <v>1</v>
      </c>
      <c r="Q37" s="72">
        <f t="shared" si="2"/>
        <v>1</v>
      </c>
      <c r="U37" s="107"/>
      <c r="V37" s="107"/>
      <c r="W37" s="107"/>
      <c r="X37" s="107"/>
      <c r="Y37" s="107"/>
      <c r="Z37" s="107"/>
      <c r="AA37" s="107"/>
      <c r="AB37" s="107"/>
    </row>
    <row r="38" spans="1:28" ht="11.25" customHeight="1">
      <c r="A38" s="103" t="s">
        <v>136</v>
      </c>
      <c r="B38" s="104">
        <v>0.5</v>
      </c>
      <c r="C38" s="125">
        <v>1</v>
      </c>
      <c r="D38" s="132">
        <f>C38*'Personnel Costs'!AA30</f>
        <v>386080.3968</v>
      </c>
      <c r="E38" s="125"/>
      <c r="M38" s="104">
        <f t="shared" si="6"/>
        <v>1</v>
      </c>
      <c r="Q38" s="72">
        <f t="shared" si="2"/>
        <v>1</v>
      </c>
      <c r="U38" s="107"/>
      <c r="V38" s="107"/>
      <c r="W38" s="107"/>
      <c r="X38" s="107"/>
      <c r="Y38" s="107"/>
      <c r="Z38" s="107"/>
      <c r="AA38" s="107"/>
      <c r="AB38" s="107"/>
    </row>
    <row r="39" spans="1:28" ht="11.25" customHeight="1">
      <c r="A39" s="103" t="s">
        <v>137</v>
      </c>
      <c r="B39" s="104">
        <v>1</v>
      </c>
      <c r="C39" s="125">
        <v>1</v>
      </c>
      <c r="D39" s="132">
        <f>C39*'Personnel Costs'!$AA16</f>
        <v>387456.53199359996</v>
      </c>
      <c r="E39" s="125"/>
      <c r="K39" s="104">
        <v>-1</v>
      </c>
      <c r="L39" s="132">
        <f>K39*'Personnel Costs'!$AA16</f>
        <v>-387456.53199359996</v>
      </c>
      <c r="M39" s="104">
        <f t="shared" si="6"/>
        <v>0</v>
      </c>
      <c r="Q39" s="72">
        <f t="shared" si="2"/>
        <v>0</v>
      </c>
      <c r="S39" s="85" t="s">
        <v>137</v>
      </c>
      <c r="U39" s="107">
        <f>($E39+$K39)*'Personnel Costs'!$L$16</f>
        <v>-196147.52012793598</v>
      </c>
      <c r="V39" s="107"/>
      <c r="W39" s="107"/>
      <c r="X39" s="107">
        <f>($E39+$K39)*'Personnel Costs'!$W$16</f>
        <v>-202375.07496561456</v>
      </c>
      <c r="Y39" s="107"/>
      <c r="Z39" s="107"/>
      <c r="AA39" s="107">
        <f>($E39+$K39)*'Personnel Costs'!$L$16</f>
        <v>-196147.52012793598</v>
      </c>
      <c r="AB39" s="107">
        <f>($E39+$K39)*'Personnel Costs'!$W$16</f>
        <v>-202375.07496561456</v>
      </c>
    </row>
    <row r="40" spans="1:17" ht="11.25" customHeight="1">
      <c r="A40" s="103" t="s">
        <v>54</v>
      </c>
      <c r="B40" s="104">
        <v>1</v>
      </c>
      <c r="C40" s="104">
        <f>+B40</f>
        <v>1</v>
      </c>
      <c r="D40" s="107">
        <f>C40*'Personnel Costs'!AA10</f>
        <v>212638.5030912</v>
      </c>
      <c r="M40" s="104">
        <f t="shared" si="6"/>
        <v>1</v>
      </c>
      <c r="Q40" s="72">
        <f t="shared" si="2"/>
        <v>1</v>
      </c>
    </row>
    <row r="41" spans="1:17" ht="11.25" customHeight="1">
      <c r="A41" s="103" t="s">
        <v>138</v>
      </c>
      <c r="B41" s="104">
        <v>1</v>
      </c>
      <c r="C41" s="104">
        <f>+B41</f>
        <v>1</v>
      </c>
      <c r="D41" s="107">
        <f>C41*'Personnel Costs'!AA38</f>
        <v>294062.9462016</v>
      </c>
      <c r="M41" s="104">
        <f t="shared" si="6"/>
        <v>1</v>
      </c>
      <c r="Q41" s="72">
        <f t="shared" si="2"/>
        <v>1</v>
      </c>
    </row>
    <row r="42" spans="1:17" ht="11.25" customHeight="1">
      <c r="A42" s="103" t="s">
        <v>139</v>
      </c>
      <c r="B42" s="104">
        <v>1</v>
      </c>
      <c r="C42" s="104">
        <f>+B42</f>
        <v>1</v>
      </c>
      <c r="D42" s="107">
        <f>C42*'Personnel Costs'!AA8</f>
        <v>158231.82667776</v>
      </c>
      <c r="M42" s="104">
        <f t="shared" si="6"/>
        <v>1</v>
      </c>
      <c r="Q42" s="72">
        <f t="shared" si="2"/>
        <v>1</v>
      </c>
    </row>
    <row r="43" spans="1:28" ht="11.25" customHeight="1">
      <c r="A43" s="103" t="s">
        <v>140</v>
      </c>
      <c r="K43" s="104">
        <v>7</v>
      </c>
      <c r="L43" s="107">
        <f>K43*'Personnel Costs'!AA33</f>
        <v>2581240.704</v>
      </c>
      <c r="M43" s="104">
        <f>+C43+E43+K43</f>
        <v>7</v>
      </c>
      <c r="Q43" s="72">
        <f t="shared" si="2"/>
        <v>7</v>
      </c>
      <c r="S43" s="85" t="s">
        <v>78</v>
      </c>
      <c r="U43" s="107">
        <f>($E43+$K43)*'Personnel Costs'!$L$33</f>
        <v>1306530.12</v>
      </c>
      <c r="V43" s="107"/>
      <c r="W43" s="107"/>
      <c r="X43" s="107">
        <f>($E43+$K43)*'Personnel Costs'!$W$33</f>
        <v>1348056.2237800001</v>
      </c>
      <c r="Y43" s="107"/>
      <c r="Z43" s="107"/>
      <c r="AA43" s="107">
        <f>($E43+$K43)*'Personnel Costs'!$L$33</f>
        <v>1306530.12</v>
      </c>
      <c r="AB43" s="107">
        <f>($E43+$K43)*'Personnel Costs'!$W$33</f>
        <v>1348056.2237800001</v>
      </c>
    </row>
    <row r="44" spans="1:28" ht="11.25" customHeight="1">
      <c r="A44" s="103" t="s">
        <v>79</v>
      </c>
      <c r="K44" s="104">
        <v>4</v>
      </c>
      <c r="L44" s="107">
        <f>K44*'Personnel Costs'!AA34</f>
        <v>1352940.288</v>
      </c>
      <c r="M44" s="104">
        <f>+C44+E44+K44</f>
        <v>4</v>
      </c>
      <c r="Q44" s="72">
        <f t="shared" si="2"/>
        <v>4</v>
      </c>
      <c r="S44" s="85" t="s">
        <v>79</v>
      </c>
      <c r="U44" s="107">
        <f>($E44+$K44)*'Personnel Costs'!$L$34</f>
        <v>684606.096</v>
      </c>
      <c r="V44" s="107"/>
      <c r="W44" s="107"/>
      <c r="X44" s="107">
        <f>($E44+$K44)*'Personnel Costs'!$W$34</f>
        <v>706408.99092</v>
      </c>
      <c r="Y44" s="107"/>
      <c r="Z44" s="107"/>
      <c r="AA44" s="107">
        <f>($E44+$K44)*'Personnel Costs'!$L$34</f>
        <v>684606.096</v>
      </c>
      <c r="AB44" s="107">
        <f>($E44+$K44)*'Personnel Costs'!$W$34</f>
        <v>706408.99092</v>
      </c>
    </row>
    <row r="45" spans="1:28" ht="11.25" customHeight="1">
      <c r="A45" s="103" t="s">
        <v>141</v>
      </c>
      <c r="B45" s="104">
        <v>4</v>
      </c>
      <c r="C45" s="104">
        <v>3</v>
      </c>
      <c r="D45" s="107">
        <f>C45*'Personnel Costs'!$AA32</f>
        <v>1182520.2892032</v>
      </c>
      <c r="K45" s="104">
        <v>-3</v>
      </c>
      <c r="L45" s="107">
        <f>K45*'Personnel Costs'!$AA32</f>
        <v>-1182520.2892032</v>
      </c>
      <c r="M45" s="104">
        <f>+C45+E45+K45</f>
        <v>0</v>
      </c>
      <c r="Q45" s="72">
        <f t="shared" si="2"/>
        <v>0</v>
      </c>
      <c r="S45" s="85" t="s">
        <v>141</v>
      </c>
      <c r="U45" s="107">
        <f>($E45+$K45)*'Personnel Costs'!$L$32</f>
        <v>-598675.630468032</v>
      </c>
      <c r="V45" s="107"/>
      <c r="W45" s="107"/>
      <c r="X45" s="107">
        <f>($E45+$K45)*'Personnel Costs'!$W$32</f>
        <v>-617676.3206011626</v>
      </c>
      <c r="Y45" s="107"/>
      <c r="Z45" s="107"/>
      <c r="AA45" s="107">
        <f>($E45+$K45)*'Personnel Costs'!$L$32</f>
        <v>-598675.630468032</v>
      </c>
      <c r="AB45" s="107">
        <f>($E45+$K45)*'Personnel Costs'!$W$32</f>
        <v>-617676.3206011626</v>
      </c>
    </row>
    <row r="46" spans="1:17" ht="11.25" customHeight="1">
      <c r="A46" s="103" t="s">
        <v>142</v>
      </c>
      <c r="B46" s="104">
        <v>3</v>
      </c>
      <c r="Q46" s="72">
        <f t="shared" si="2"/>
        <v>0</v>
      </c>
    </row>
    <row r="47" spans="1:28" ht="11.25" customHeight="1">
      <c r="A47" s="103" t="s">
        <v>143</v>
      </c>
      <c r="B47" s="104">
        <v>3</v>
      </c>
      <c r="C47" s="104">
        <v>3</v>
      </c>
      <c r="D47" s="107">
        <f>C47*'Personnel Costs'!$AA9</f>
        <v>553545.1611647999</v>
      </c>
      <c r="K47" s="104">
        <v>-3</v>
      </c>
      <c r="L47" s="107">
        <f>K47*'Personnel Costs'!$AA9</f>
        <v>-553545.1611647999</v>
      </c>
      <c r="M47" s="104">
        <f>+C47+E47+K47</f>
        <v>0</v>
      </c>
      <c r="Q47" s="72">
        <f t="shared" si="2"/>
        <v>0</v>
      </c>
      <c r="S47" s="85" t="s">
        <v>206</v>
      </c>
      <c r="U47" s="107">
        <f>($E47+$K47)*'Personnel Costs'!$L$9</f>
        <v>-279264.953355648</v>
      </c>
      <c r="V47" s="107"/>
      <c r="W47" s="107"/>
      <c r="X47" s="107">
        <f>($E47+$K47)*'Personnel Costs'!$W$9</f>
        <v>-288338.92767255</v>
      </c>
      <c r="Y47" s="107"/>
      <c r="Z47" s="107"/>
      <c r="AA47" s="107">
        <f>($E47+$K47)*'Personnel Costs'!$L$9</f>
        <v>-279264.953355648</v>
      </c>
      <c r="AB47" s="107">
        <f>($E47+$K47)*'Personnel Costs'!$W$9</f>
        <v>-288338.92767255</v>
      </c>
    </row>
    <row r="48" spans="1:28" ht="11.25" customHeight="1">
      <c r="A48" s="103" t="s">
        <v>144</v>
      </c>
      <c r="B48" s="104">
        <v>4</v>
      </c>
      <c r="E48" s="104">
        <v>4</v>
      </c>
      <c r="F48" s="107">
        <f>E48*'Personnel Costs'!AA17</f>
        <v>855333.888</v>
      </c>
      <c r="M48" s="104">
        <f>+C48+E48+K48</f>
        <v>4</v>
      </c>
      <c r="Q48" s="72">
        <f t="shared" si="2"/>
        <v>4</v>
      </c>
      <c r="U48" s="107">
        <f>($E48+$K48)*'Personnel Costs'!$L$17</f>
        <v>431908.032</v>
      </c>
      <c r="V48" s="107"/>
      <c r="W48" s="107"/>
      <c r="X48" s="107">
        <f>($E48+$K48)*'Personnel Costs'!$W$17</f>
        <v>445857.52048</v>
      </c>
      <c r="Y48" s="107"/>
      <c r="Z48" s="107"/>
      <c r="AA48" s="107">
        <f>($E48+$K48)*'Personnel Costs'!$L$17</f>
        <v>431908.032</v>
      </c>
      <c r="AB48" s="107">
        <f>($E48+$K48)*'Personnel Costs'!$W$17</f>
        <v>445857.52048</v>
      </c>
    </row>
    <row r="49" spans="1:28" ht="11.25" customHeight="1">
      <c r="A49" s="103" t="s">
        <v>145</v>
      </c>
      <c r="B49" s="104">
        <v>6</v>
      </c>
      <c r="C49" s="104">
        <v>6</v>
      </c>
      <c r="D49" s="132">
        <f>C49*'Personnel Costs'!AA6</f>
        <v>847484.4526952729</v>
      </c>
      <c r="E49" s="104">
        <v>2</v>
      </c>
      <c r="F49" s="132">
        <f>E49*'Personnel Costs'!AA6</f>
        <v>282494.81756509095</v>
      </c>
      <c r="M49" s="104">
        <f>+C49+E49+K49</f>
        <v>8</v>
      </c>
      <c r="Q49" s="72">
        <f t="shared" si="2"/>
        <v>8</v>
      </c>
      <c r="U49" s="107">
        <f>($E49+$K49)*'Personnel Costs'!$L$6</f>
        <v>142231.66175201457</v>
      </c>
      <c r="V49" s="107"/>
      <c r="W49" s="107"/>
      <c r="X49" s="107">
        <f>($E49+$K49)*'Personnel Costs'!$W$6</f>
        <v>146915.24632716214</v>
      </c>
      <c r="Y49" s="107"/>
      <c r="Z49" s="107"/>
      <c r="AA49" s="107">
        <f>($E49+$K49)*'Personnel Costs'!$L$6</f>
        <v>142231.66175201457</v>
      </c>
      <c r="AB49" s="107">
        <f>($E49+$K49)*'Personnel Costs'!$W$6</f>
        <v>146915.24632716214</v>
      </c>
    </row>
    <row r="50" spans="1:28" ht="11.25" customHeight="1">
      <c r="A50" s="126" t="s">
        <v>146</v>
      </c>
      <c r="B50" s="134"/>
      <c r="C50" s="134"/>
      <c r="D50" s="135"/>
      <c r="E50" s="134"/>
      <c r="F50" s="135"/>
      <c r="G50" s="134"/>
      <c r="H50" s="134"/>
      <c r="I50" s="134"/>
      <c r="J50" s="134"/>
      <c r="K50" s="134"/>
      <c r="L50" s="111">
        <v>-870473.375064</v>
      </c>
      <c r="M50" s="134"/>
      <c r="N50" s="134"/>
      <c r="O50" s="134"/>
      <c r="P50" s="134"/>
      <c r="Q50" s="136"/>
      <c r="R50" s="108">
        <f>+L50</f>
        <v>-870473.375064</v>
      </c>
      <c r="S50" s="89" t="s">
        <v>180</v>
      </c>
      <c r="T50" s="89"/>
      <c r="U50" s="186">
        <f>SUM(U34:U49)</f>
        <v>1491187.805800399</v>
      </c>
      <c r="V50" s="186"/>
      <c r="W50" s="186"/>
      <c r="X50" s="186">
        <f>SUM(X34:X49)</f>
        <v>1538847.6582678352</v>
      </c>
      <c r="Y50" s="186"/>
      <c r="Z50" s="186"/>
      <c r="AA50" s="186">
        <f>SUM(AA34:AA49)</f>
        <v>1491187.805800399</v>
      </c>
      <c r="AB50" s="186">
        <f>SUM(AB34:AB49)</f>
        <v>1538847.6582678352</v>
      </c>
    </row>
    <row r="51" spans="1:28" ht="11.25" customHeight="1">
      <c r="A51" s="119" t="s">
        <v>65</v>
      </c>
      <c r="B51" s="120">
        <f aca="true" t="shared" si="7" ref="B51:K51">SUM(B34:B49)</f>
        <v>38.1</v>
      </c>
      <c r="C51" s="120">
        <f t="shared" si="7"/>
        <v>31</v>
      </c>
      <c r="D51" s="121">
        <f t="shared" si="7"/>
        <v>7165115.971087087</v>
      </c>
      <c r="E51" s="120">
        <f t="shared" si="7"/>
        <v>6</v>
      </c>
      <c r="F51" s="121">
        <f t="shared" si="7"/>
        <v>1137828.705565091</v>
      </c>
      <c r="G51" s="120">
        <f t="shared" si="7"/>
        <v>0</v>
      </c>
      <c r="H51" s="121">
        <f t="shared" si="7"/>
        <v>0</v>
      </c>
      <c r="I51" s="120">
        <f t="shared" si="7"/>
        <v>0</v>
      </c>
      <c r="J51" s="121">
        <f t="shared" si="7"/>
        <v>0</v>
      </c>
      <c r="K51" s="120">
        <f t="shared" si="7"/>
        <v>4</v>
      </c>
      <c r="L51" s="121">
        <f>SUM(L34:L50)</f>
        <v>940185.6345744</v>
      </c>
      <c r="M51" s="122">
        <f>SUM(M34:M49)</f>
        <v>41</v>
      </c>
      <c r="N51" s="137">
        <f>+M51/M33</f>
        <v>0.11573747353563868</v>
      </c>
      <c r="O51" s="138"/>
      <c r="P51" s="139">
        <f>+M51</f>
        <v>41</v>
      </c>
      <c r="Q51" s="72">
        <f>SUM(Q34:Q49)</f>
        <v>41</v>
      </c>
      <c r="S51" s="89" t="s">
        <v>196</v>
      </c>
      <c r="T51" s="89"/>
      <c r="U51" s="186">
        <f>L50</f>
        <v>-870473.375064</v>
      </c>
      <c r="V51" s="186"/>
      <c r="W51" s="186"/>
      <c r="X51" s="89"/>
      <c r="Y51" s="89"/>
      <c r="Z51" s="89"/>
      <c r="AA51" s="186">
        <f>R50</f>
        <v>-870473.375064</v>
      </c>
      <c r="AB51" s="89"/>
    </row>
    <row r="52" spans="1:20" ht="11.25" customHeight="1">
      <c r="A52" s="140" t="s">
        <v>147</v>
      </c>
      <c r="B52" s="141">
        <f>+B33+B51</f>
        <v>385.86</v>
      </c>
      <c r="C52" s="142">
        <f>+C33+C51</f>
        <v>354.25</v>
      </c>
      <c r="D52" s="143">
        <f>SUM(D51,D33)</f>
        <v>78923734.07145539</v>
      </c>
      <c r="E52" s="141">
        <f>+E33+E51</f>
        <v>17.5</v>
      </c>
      <c r="F52" s="143">
        <f>SUM(F51,F33)</f>
        <v>3244385.792335091</v>
      </c>
      <c r="G52" s="141">
        <f>+G33+G51</f>
        <v>7</v>
      </c>
      <c r="H52" s="143">
        <f>SUM(H51,H33)</f>
        <v>373621.7698</v>
      </c>
      <c r="I52" s="141">
        <f>+I33+I51</f>
        <v>13</v>
      </c>
      <c r="J52" s="143">
        <f>SUM(J51,J33)</f>
        <v>2146591.8665</v>
      </c>
      <c r="K52" s="141">
        <f>+K33+K51</f>
        <v>3.5</v>
      </c>
      <c r="L52" s="143">
        <f>SUM(L51,L33)</f>
        <v>869561.9301831273</v>
      </c>
      <c r="M52" s="144">
        <f>+M33+M51</f>
        <v>395.25</v>
      </c>
      <c r="N52" s="141"/>
      <c r="O52" s="144">
        <f>+O33+O51</f>
        <v>20</v>
      </c>
      <c r="P52" s="144">
        <f>+P33+P51</f>
        <v>368.65</v>
      </c>
      <c r="Q52" s="144">
        <f>+Q33+Q51</f>
        <v>375.25</v>
      </c>
      <c r="R52" s="108">
        <f>+R50+R29+R19</f>
        <v>-1170944.7128939999</v>
      </c>
      <c r="S52" s="108"/>
      <c r="T52" s="108"/>
    </row>
    <row r="53" spans="1:28" ht="11.25" customHeight="1">
      <c r="A53" s="145"/>
      <c r="B53" s="146"/>
      <c r="C53" s="146"/>
      <c r="D53" s="146"/>
      <c r="E53" s="146"/>
      <c r="F53" s="146"/>
      <c r="G53" s="146"/>
      <c r="H53" s="146"/>
      <c r="I53" s="146"/>
      <c r="J53" s="146"/>
      <c r="K53" s="146"/>
      <c r="L53" s="146"/>
      <c r="M53" s="147"/>
      <c r="N53" s="146"/>
      <c r="O53" s="146"/>
      <c r="P53" s="146"/>
      <c r="S53" s="89" t="s">
        <v>181</v>
      </c>
      <c r="T53" s="89"/>
      <c r="U53" s="188">
        <f>'Personnel Costs'!F41</f>
        <v>660841.4301549181</v>
      </c>
      <c r="V53" s="188"/>
      <c r="W53" s="188"/>
      <c r="X53" s="188">
        <f>AB53</f>
        <v>1516974.1234368675</v>
      </c>
      <c r="Y53" s="188"/>
      <c r="Z53" s="188"/>
      <c r="AA53" s="188">
        <f>'Personnel Costs'!F41</f>
        <v>660841.4301549181</v>
      </c>
      <c r="AB53" s="188">
        <f>'Personnel Costs'!Q41</f>
        <v>1516974.1234368675</v>
      </c>
    </row>
    <row r="54" ht="10.5" customHeight="1"/>
    <row r="55" spans="1:16" ht="0.75" customHeight="1" hidden="1">
      <c r="A55" s="85" t="s">
        <v>148</v>
      </c>
      <c r="B55" s="135">
        <f>+'[1]Current to Proposed'!H43</f>
        <v>84917791.7527311</v>
      </c>
      <c r="C55" s="148">
        <f>+'[1]Adopted to Proposed'!E42</f>
        <v>79008473.3707301</v>
      </c>
      <c r="D55" s="149"/>
      <c r="E55" s="135">
        <f>+'[1]Adopted to Proposed'!N42</f>
        <v>11374680.681696678</v>
      </c>
      <c r="F55" s="135"/>
      <c r="G55" s="135"/>
      <c r="H55" s="135"/>
      <c r="I55" s="135"/>
      <c r="J55" s="135"/>
      <c r="K55" s="135">
        <v>1860870.8911424968</v>
      </c>
      <c r="L55" s="135"/>
      <c r="M55" s="135">
        <f>+C55+E55+K55</f>
        <v>92244024.94356929</v>
      </c>
      <c r="N55" s="135"/>
      <c r="O55" s="135"/>
      <c r="P55" s="135"/>
    </row>
    <row r="56" spans="1:16" ht="11.25" customHeight="1" hidden="1">
      <c r="A56" s="85" t="s">
        <v>149</v>
      </c>
      <c r="B56" s="135">
        <f>+'[1]Current to Proposed'!H44</f>
        <v>14602557</v>
      </c>
      <c r="C56" s="148">
        <f>+'[1]Adopted to Proposed'!E43</f>
        <v>14602557</v>
      </c>
      <c r="D56" s="149"/>
      <c r="E56" s="135"/>
      <c r="F56" s="135"/>
      <c r="G56" s="135"/>
      <c r="H56" s="135"/>
      <c r="I56" s="135"/>
      <c r="J56" s="135"/>
      <c r="K56" s="135"/>
      <c r="L56" s="135"/>
      <c r="M56" s="135">
        <f>+C56+E56+K56</f>
        <v>14602557</v>
      </c>
      <c r="N56" s="135"/>
      <c r="O56" s="135"/>
      <c r="P56" s="135"/>
    </row>
    <row r="57" spans="1:16" ht="11.25" customHeight="1" hidden="1">
      <c r="A57" s="85" t="s">
        <v>150</v>
      </c>
      <c r="B57" s="135">
        <f>+'[1]Current to Proposed'!H45</f>
        <v>3866970</v>
      </c>
      <c r="C57" s="148">
        <f>+'[1]Adopted to Proposed'!E44</f>
        <v>3866970</v>
      </c>
      <c r="D57" s="149"/>
      <c r="E57" s="135"/>
      <c r="F57" s="135"/>
      <c r="G57" s="135"/>
      <c r="H57" s="135"/>
      <c r="I57" s="135"/>
      <c r="J57" s="135"/>
      <c r="K57" s="135"/>
      <c r="L57" s="135"/>
      <c r="M57" s="135">
        <f>+C57+E57+K57</f>
        <v>3866970</v>
      </c>
      <c r="N57" s="135"/>
      <c r="O57" s="135"/>
      <c r="P57" s="135"/>
    </row>
    <row r="58" spans="1:16" ht="11.25" customHeight="1" hidden="1">
      <c r="A58" t="s">
        <v>151</v>
      </c>
      <c r="B58" s="135">
        <f>+'[1]Current to Proposed'!H46</f>
        <v>15080572</v>
      </c>
      <c r="C58" s="148">
        <f>+'[1]Adopted to Proposed'!E45</f>
        <v>15080572</v>
      </c>
      <c r="D58" s="149"/>
      <c r="E58" s="135"/>
      <c r="F58" s="135"/>
      <c r="G58" s="135"/>
      <c r="H58" s="135"/>
      <c r="I58" s="135"/>
      <c r="J58" s="135"/>
      <c r="K58" s="135"/>
      <c r="L58" s="135"/>
      <c r="M58" s="135">
        <f>+C58+E58+K58</f>
        <v>15080572</v>
      </c>
      <c r="N58" s="135"/>
      <c r="O58" s="135"/>
      <c r="P58" s="135"/>
    </row>
    <row r="59" spans="1:16" ht="11.25" customHeight="1" hidden="1">
      <c r="A59" t="s">
        <v>147</v>
      </c>
      <c r="B59" s="135">
        <f>+'[1]Current to Proposed'!H47</f>
        <v>118467890.7527311</v>
      </c>
      <c r="C59" s="148">
        <f>+'[1]Adopted to Proposed'!E46</f>
        <v>112558572.3707301</v>
      </c>
      <c r="D59" s="149"/>
      <c r="E59" s="135"/>
      <c r="F59" s="135"/>
      <c r="G59" s="135"/>
      <c r="H59" s="135"/>
      <c r="I59" s="135"/>
      <c r="J59" s="135"/>
      <c r="K59" s="135"/>
      <c r="L59" s="135"/>
      <c r="M59" s="135">
        <f>SUM(M55:M58)</f>
        <v>125794123.94356929</v>
      </c>
      <c r="N59" s="135"/>
      <c r="O59" s="150"/>
      <c r="P59" s="135"/>
    </row>
    <row r="60" spans="1:16" ht="11.25" customHeight="1" hidden="1">
      <c r="A60" s="151" t="s">
        <v>152</v>
      </c>
      <c r="B60" s="152"/>
      <c r="C60" s="152"/>
      <c r="D60" s="152"/>
      <c r="E60" s="152"/>
      <c r="F60" s="152"/>
      <c r="G60" s="152"/>
      <c r="H60" s="152"/>
      <c r="I60" s="152"/>
      <c r="J60" s="152"/>
      <c r="K60" s="152"/>
      <c r="L60" s="152"/>
      <c r="M60" s="153">
        <f>+M59-C59</f>
        <v>13235551.572839186</v>
      </c>
      <c r="N60" s="152"/>
      <c r="O60" s="135"/>
      <c r="P60" s="152"/>
    </row>
    <row r="61" spans="1:16" ht="11.25" customHeight="1" hidden="1">
      <c r="A61" s="133" t="s">
        <v>153</v>
      </c>
      <c r="B61" s="154"/>
      <c r="C61" s="154"/>
      <c r="D61" s="154"/>
      <c r="E61" s="154"/>
      <c r="F61" s="154"/>
      <c r="G61" s="154"/>
      <c r="H61" s="154"/>
      <c r="I61" s="154"/>
      <c r="J61" s="154"/>
      <c r="K61" s="154"/>
      <c r="L61" s="154"/>
      <c r="M61" s="154" t="e">
        <f>-'[1]Phase out'!#REF!</f>
        <v>#REF!</v>
      </c>
      <c r="N61" s="155"/>
      <c r="O61" s="155"/>
      <c r="P61" s="156"/>
    </row>
    <row r="62" spans="1:16" ht="11.25" customHeight="1" hidden="1">
      <c r="A62" s="133" t="s">
        <v>154</v>
      </c>
      <c r="B62" s="154"/>
      <c r="C62" s="154"/>
      <c r="D62" s="154"/>
      <c r="E62" s="154"/>
      <c r="F62" s="154"/>
      <c r="G62" s="154"/>
      <c r="H62" s="154"/>
      <c r="I62" s="154"/>
      <c r="J62" s="154"/>
      <c r="K62" s="154"/>
      <c r="L62" s="154"/>
      <c r="M62" s="157" t="e">
        <f>+M60+M61</f>
        <v>#REF!</v>
      </c>
      <c r="N62" s="154"/>
      <c r="O62" s="154"/>
      <c r="P62" s="154"/>
    </row>
    <row r="63" spans="1:16" ht="11.25" customHeight="1" hidden="1">
      <c r="A63" s="158" t="s">
        <v>155</v>
      </c>
      <c r="B63" s="155"/>
      <c r="C63" s="155"/>
      <c r="D63" s="155"/>
      <c r="E63" s="155"/>
      <c r="F63" s="155"/>
      <c r="G63" s="155"/>
      <c r="H63" s="155"/>
      <c r="I63" s="155"/>
      <c r="J63" s="155"/>
      <c r="K63" s="155"/>
      <c r="L63" s="155"/>
      <c r="M63" s="157">
        <f>+M59-B59</f>
        <v>7326233.190838188</v>
      </c>
      <c r="N63" s="154"/>
      <c r="O63" s="154"/>
      <c r="P63" s="154"/>
    </row>
    <row r="64" spans="1:28" ht="12.75" customHeight="1">
      <c r="A64" s="85" t="s">
        <v>156</v>
      </c>
      <c r="S64" s="89" t="s">
        <v>147</v>
      </c>
      <c r="T64" s="89"/>
      <c r="U64" s="186">
        <f>U50+U31+U29+U19+U53+U30+U20+U51</f>
        <v>1973745.4472353142</v>
      </c>
      <c r="V64" s="186">
        <f>V50+V31+V29+V19+V53+V30+V20</f>
        <v>754422.9932639999</v>
      </c>
      <c r="W64" s="186">
        <f>W50+W31+W29+W19+W53+W30+W20</f>
        <v>1448704.00686</v>
      </c>
      <c r="X64" s="186">
        <f>X50+X31+X29+X19+X53</f>
        <v>4080780.868161182</v>
      </c>
      <c r="Y64" s="186">
        <f>Y50+Y31+Y29+Y19+Y53</f>
        <v>747719.2273046749</v>
      </c>
      <c r="Z64" s="186"/>
      <c r="AA64" s="186">
        <f>AA50+AA31+AA29+AA19+AA53+AA30+AA20+AA51</f>
        <v>4176872.447359313</v>
      </c>
      <c r="AB64" s="186">
        <f>AB50+AB31+AB29+AB19+AB53</f>
        <v>4828500.095465857</v>
      </c>
    </row>
    <row r="65" spans="1:27" s="74" customFormat="1" ht="25.5" customHeight="1">
      <c r="A65" s="159"/>
      <c r="B65" s="160" t="s">
        <v>157</v>
      </c>
      <c r="C65" s="160" t="s">
        <v>158</v>
      </c>
      <c r="D65" s="160" t="s">
        <v>159</v>
      </c>
      <c r="E65" s="160" t="s">
        <v>160</v>
      </c>
      <c r="F65" s="161" t="s">
        <v>147</v>
      </c>
      <c r="G65" s="100"/>
      <c r="H65" s="100"/>
      <c r="I65" s="100"/>
      <c r="J65" s="100"/>
      <c r="K65" s="100"/>
      <c r="L65" s="100"/>
      <c r="M65" s="100"/>
      <c r="N65" s="100"/>
      <c r="O65" s="100"/>
      <c r="P65" s="100"/>
      <c r="Q65" s="162"/>
      <c r="U65" s="189">
        <f>U64+AB64</f>
        <v>6802245.542701171</v>
      </c>
      <c r="V65" s="189"/>
      <c r="W65" s="189"/>
      <c r="AA65" s="189">
        <f>AA64+AH64</f>
        <v>4176872.447359313</v>
      </c>
    </row>
    <row r="66" spans="1:8" ht="12.75" customHeight="1">
      <c r="A66" s="163" t="s">
        <v>161</v>
      </c>
      <c r="B66" s="164">
        <f>D52</f>
        <v>78923734.07145539</v>
      </c>
      <c r="C66" s="164">
        <f>F52+H52+J52</f>
        <v>5764599.428635091</v>
      </c>
      <c r="D66" s="164">
        <f>L52</f>
        <v>869561.9301831273</v>
      </c>
      <c r="E66" s="165"/>
      <c r="F66" s="164">
        <f>SUM(B66:E66)</f>
        <v>85557895.4302736</v>
      </c>
      <c r="H66" s="166"/>
    </row>
    <row r="67" spans="1:6" ht="12.75" customHeight="1">
      <c r="A67" s="163" t="s">
        <v>149</v>
      </c>
      <c r="B67" s="167">
        <v>14602557</v>
      </c>
      <c r="C67" s="165"/>
      <c r="D67" s="165"/>
      <c r="E67" s="165"/>
      <c r="F67" s="164">
        <f aca="true" t="shared" si="8" ref="F67:F74">SUM(B67:E67)</f>
        <v>14602557</v>
      </c>
    </row>
    <row r="68" spans="1:6" ht="12.75" customHeight="1">
      <c r="A68" s="163" t="s">
        <v>150</v>
      </c>
      <c r="B68" s="167">
        <v>3866970</v>
      </c>
      <c r="C68" s="165"/>
      <c r="D68" s="165"/>
      <c r="E68" s="165"/>
      <c r="F68" s="164">
        <f t="shared" si="8"/>
        <v>3866970</v>
      </c>
    </row>
    <row r="69" spans="1:6" ht="12.75" customHeight="1">
      <c r="A69" s="168" t="s">
        <v>151</v>
      </c>
      <c r="B69" s="167">
        <v>15080572</v>
      </c>
      <c r="C69" s="165"/>
      <c r="D69" s="165"/>
      <c r="E69" s="165"/>
      <c r="F69" s="164">
        <f t="shared" si="8"/>
        <v>15080572</v>
      </c>
    </row>
    <row r="70" spans="1:6" ht="12.75" customHeight="1">
      <c r="A70" s="163" t="s">
        <v>162</v>
      </c>
      <c r="B70" s="164"/>
      <c r="C70" s="164">
        <f>'Personnel Costs'!AF40</f>
        <v>142594.65917303078</v>
      </c>
      <c r="D70" s="164">
        <f>'Personnel Costs'!AF41</f>
        <v>50800.971242135216</v>
      </c>
      <c r="E70" s="164">
        <f>'Personnel Costs'!B47</f>
        <v>2177815.5535917855</v>
      </c>
      <c r="F70" s="164">
        <f t="shared" si="8"/>
        <v>2371211.1840069513</v>
      </c>
    </row>
    <row r="71" spans="1:6" ht="12.75" customHeight="1">
      <c r="A71" s="163" t="s">
        <v>163</v>
      </c>
      <c r="B71" s="164">
        <f>-SUM(B66:B69)+B73</f>
        <v>-318833.07145538926</v>
      </c>
      <c r="C71" s="164"/>
      <c r="D71" s="164"/>
      <c r="E71" s="164"/>
      <c r="F71" s="164">
        <f>B71</f>
        <v>-318833.07145538926</v>
      </c>
    </row>
    <row r="72" spans="1:6" ht="12.75" customHeight="1">
      <c r="A72" s="169" t="s">
        <v>164</v>
      </c>
      <c r="B72" s="170">
        <f>SUM(B66:B71)</f>
        <v>112155000</v>
      </c>
      <c r="C72" s="170"/>
      <c r="D72" s="170"/>
      <c r="E72" s="170"/>
      <c r="F72" s="170">
        <f>SUM(F66:F71)</f>
        <v>121160372.54282516</v>
      </c>
    </row>
    <row r="73" spans="1:9" ht="12.75" customHeight="1" thickBot="1">
      <c r="A73" s="171" t="s">
        <v>165</v>
      </c>
      <c r="B73" s="172">
        <v>112155000</v>
      </c>
      <c r="C73" s="173"/>
      <c r="D73" s="173"/>
      <c r="E73" s="173"/>
      <c r="F73" s="174">
        <f t="shared" si="8"/>
        <v>112155000</v>
      </c>
      <c r="H73" s="104">
        <v>343.75</v>
      </c>
      <c r="I73" s="104" t="s">
        <v>182</v>
      </c>
    </row>
    <row r="74" spans="1:9" ht="12.75" customHeight="1" thickBot="1">
      <c r="A74" s="175" t="s">
        <v>166</v>
      </c>
      <c r="B74" s="176"/>
      <c r="C74" s="177">
        <f>SUM(C66:C73)</f>
        <v>5907194.087808121</v>
      </c>
      <c r="D74" s="177">
        <f>SUM(D66:D73)</f>
        <v>920362.9014252624</v>
      </c>
      <c r="E74" s="177">
        <f>SUM(E66:E73)</f>
        <v>2177815.5535917855</v>
      </c>
      <c r="F74" s="178">
        <f t="shared" si="8"/>
        <v>9005372.54282517</v>
      </c>
      <c r="G74" s="107"/>
      <c r="H74" s="104">
        <v>10.5</v>
      </c>
      <c r="I74" s="104" t="s">
        <v>183</v>
      </c>
    </row>
    <row r="75" spans="1:6" ht="12.75" customHeight="1">
      <c r="A75" s="85" t="s">
        <v>167</v>
      </c>
      <c r="F75" s="107">
        <v>353000</v>
      </c>
    </row>
    <row r="76" spans="1:7" ht="12.75" customHeight="1" hidden="1">
      <c r="A76" s="179" t="s">
        <v>168</v>
      </c>
      <c r="B76" s="180">
        <v>-572008</v>
      </c>
      <c r="C76" s="181">
        <f>+B73+B76</f>
        <v>111582992</v>
      </c>
      <c r="D76" s="181"/>
      <c r="E76" s="181"/>
      <c r="F76" s="181"/>
      <c r="G76" s="181"/>
    </row>
    <row r="77" spans="1:7" ht="12.75" customHeight="1" hidden="1">
      <c r="A77" s="163" t="s">
        <v>169</v>
      </c>
      <c r="B77" s="182">
        <v>-74496</v>
      </c>
      <c r="C77" s="165"/>
      <c r="D77" s="165"/>
      <c r="E77" s="165"/>
      <c r="F77" s="165"/>
      <c r="G77" s="165"/>
    </row>
    <row r="78" spans="1:7" ht="12.75" customHeight="1" hidden="1">
      <c r="A78" s="163"/>
      <c r="B78" s="165"/>
      <c r="C78" s="165"/>
      <c r="D78" s="165"/>
      <c r="E78" s="165"/>
      <c r="F78" s="165"/>
      <c r="G78" s="165"/>
    </row>
    <row r="79" spans="1:7" ht="12.75" customHeight="1" hidden="1">
      <c r="A79" s="163" t="s">
        <v>170</v>
      </c>
      <c r="B79" s="164">
        <v>109173000</v>
      </c>
      <c r="C79" s="165"/>
      <c r="D79" s="165"/>
      <c r="E79" s="182"/>
      <c r="F79" s="165"/>
      <c r="G79" s="165"/>
    </row>
    <row r="80" spans="1:7" ht="12.75" customHeight="1" hidden="1">
      <c r="A80" s="163" t="s">
        <v>171</v>
      </c>
      <c r="B80" s="164">
        <v>2982000</v>
      </c>
      <c r="C80" s="165"/>
      <c r="D80" s="165"/>
      <c r="E80" s="165"/>
      <c r="F80" s="165"/>
      <c r="G80" s="165"/>
    </row>
    <row r="81" spans="1:7" ht="12.75" customHeight="1" hidden="1">
      <c r="A81" s="163" t="s">
        <v>172</v>
      </c>
      <c r="B81" s="183">
        <f>SUM(B79:B80)</f>
        <v>112155000</v>
      </c>
      <c r="C81" s="165">
        <f>+B81-C76</f>
        <v>572008</v>
      </c>
      <c r="D81" s="165"/>
      <c r="E81" s="165"/>
      <c r="F81" s="165"/>
      <c r="G81" s="165"/>
    </row>
    <row r="82" spans="8:9" ht="12.75">
      <c r="H82" s="104">
        <f>E52+K52</f>
        <v>21</v>
      </c>
      <c r="I82" s="104" t="s">
        <v>184</v>
      </c>
    </row>
    <row r="83" spans="8:9" ht="12.75">
      <c r="H83" s="104">
        <f>H82+H73</f>
        <v>364.75</v>
      </c>
      <c r="I83" s="104" t="s">
        <v>185</v>
      </c>
    </row>
    <row r="84" ht="12.75">
      <c r="G84" s="107">
        <v>109173000</v>
      </c>
    </row>
    <row r="85" ht="12.75">
      <c r="G85" s="107">
        <f>ROUND(F74,-3)</f>
        <v>9005000</v>
      </c>
    </row>
    <row r="86" ht="12.75">
      <c r="G86" s="107">
        <f>G84+G85</f>
        <v>118178000</v>
      </c>
    </row>
  </sheetData>
  <sheetProtection/>
  <mergeCells count="2">
    <mergeCell ref="A1:P1"/>
    <mergeCell ref="E2:I2"/>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3:AG47"/>
  <sheetViews>
    <sheetView zoomScalePageLayoutView="0" workbookViewId="0" topLeftCell="A1">
      <pane xSplit="2" ySplit="4" topLeftCell="N5" activePane="bottomRight" state="frozen"/>
      <selection pane="topLeft" activeCell="A1" sqref="A1"/>
      <selection pane="topRight" activeCell="C1" sqref="C1"/>
      <selection pane="bottomLeft" activeCell="A3" sqref="A3"/>
      <selection pane="bottomRight" activeCell="AE28" sqref="AE28"/>
    </sheetView>
  </sheetViews>
  <sheetFormatPr defaultColWidth="9.140625" defaultRowHeight="12.75"/>
  <cols>
    <col min="2" max="2" width="27.7109375" style="0" bestFit="1" customWidth="1"/>
    <col min="6" max="6" width="8.8515625" style="0" customWidth="1"/>
    <col min="7" max="10" width="9.140625" style="0" customWidth="1"/>
    <col min="11" max="12" width="10.57421875" style="0" customWidth="1"/>
    <col min="13" max="13" width="11.57421875" style="0" customWidth="1"/>
    <col min="15" max="15" width="10.57421875" style="0" bestFit="1" customWidth="1"/>
    <col min="17" max="17" width="10.421875" style="0" customWidth="1"/>
    <col min="18" max="21" width="9.140625" style="0" customWidth="1"/>
    <col min="22" max="23" width="10.57421875" style="0" customWidth="1"/>
    <col min="24" max="24" width="11.57421875" style="0" customWidth="1"/>
    <col min="25" max="25" width="9.140625" style="0" customWidth="1"/>
    <col min="26" max="26" width="11.57421875" style="0" customWidth="1"/>
    <col min="27" max="27" width="10.7109375" style="0" customWidth="1"/>
    <col min="32" max="32" width="9.8515625" style="0" bestFit="1" customWidth="1"/>
  </cols>
  <sheetData>
    <row r="3" spans="3:32" ht="15.75">
      <c r="C3" s="222" t="s">
        <v>22</v>
      </c>
      <c r="D3" s="223"/>
      <c r="E3" s="223"/>
      <c r="F3" s="223"/>
      <c r="G3" s="223"/>
      <c r="H3" s="223"/>
      <c r="I3" s="223"/>
      <c r="J3" s="223"/>
      <c r="K3" s="223"/>
      <c r="L3" s="223"/>
      <c r="M3" s="224"/>
      <c r="N3" s="69"/>
      <c r="O3" s="70"/>
      <c r="P3" s="70"/>
      <c r="Q3" s="70"/>
      <c r="R3" s="70"/>
      <c r="S3" s="70"/>
      <c r="T3" s="70"/>
      <c r="U3" s="70"/>
      <c r="V3" s="70"/>
      <c r="W3" s="70"/>
      <c r="X3" s="70"/>
      <c r="Y3" s="70"/>
      <c r="Z3" s="70"/>
      <c r="AA3" s="71"/>
      <c r="AB3" s="71"/>
      <c r="AC3" s="72"/>
      <c r="AD3" s="72"/>
      <c r="AE3" s="72"/>
      <c r="AF3" s="72"/>
    </row>
    <row r="4" spans="1:32" ht="75">
      <c r="A4" s="73" t="s">
        <v>23</v>
      </c>
      <c r="B4" s="74" t="s">
        <v>24</v>
      </c>
      <c r="C4" s="75" t="s">
        <v>25</v>
      </c>
      <c r="D4" s="76" t="s">
        <v>26</v>
      </c>
      <c r="E4" s="76" t="s">
        <v>27</v>
      </c>
      <c r="F4" s="76" t="s">
        <v>28</v>
      </c>
      <c r="G4" s="76" t="s">
        <v>29</v>
      </c>
      <c r="H4" s="76" t="s">
        <v>30</v>
      </c>
      <c r="I4" s="76" t="s">
        <v>31</v>
      </c>
      <c r="J4" s="76" t="s">
        <v>32</v>
      </c>
      <c r="K4" s="76" t="s">
        <v>33</v>
      </c>
      <c r="L4" s="76" t="s">
        <v>173</v>
      </c>
      <c r="M4" s="77" t="s">
        <v>34</v>
      </c>
      <c r="N4" s="76" t="s">
        <v>35</v>
      </c>
      <c r="O4" s="76" t="s">
        <v>36</v>
      </c>
      <c r="P4" s="76" t="s">
        <v>37</v>
      </c>
      <c r="Q4" s="76" t="s">
        <v>38</v>
      </c>
      <c r="R4" s="76" t="s">
        <v>29</v>
      </c>
      <c r="S4" s="76" t="s">
        <v>30</v>
      </c>
      <c r="T4" s="76" t="s">
        <v>31</v>
      </c>
      <c r="U4" s="76" t="s">
        <v>32</v>
      </c>
      <c r="V4" s="76" t="s">
        <v>39</v>
      </c>
      <c r="W4" s="76" t="s">
        <v>174</v>
      </c>
      <c r="X4" s="77" t="s">
        <v>40</v>
      </c>
      <c r="Y4" s="77" t="s">
        <v>41</v>
      </c>
      <c r="Z4" s="77" t="s">
        <v>42</v>
      </c>
      <c r="AA4" s="77" t="s">
        <v>43</v>
      </c>
      <c r="AB4" s="78" t="s">
        <v>44</v>
      </c>
      <c r="AC4" s="79" t="s">
        <v>45</v>
      </c>
      <c r="AD4" s="79" t="s">
        <v>46</v>
      </c>
      <c r="AE4" s="79" t="s">
        <v>47</v>
      </c>
      <c r="AF4" s="79" t="s">
        <v>48</v>
      </c>
    </row>
    <row r="5" spans="1:33" ht="15">
      <c r="A5" s="73"/>
      <c r="B5" s="74"/>
      <c r="C5" s="80"/>
      <c r="D5" s="81"/>
      <c r="E5" s="81"/>
      <c r="F5" s="81"/>
      <c r="G5" s="81"/>
      <c r="H5" s="81"/>
      <c r="I5" s="81"/>
      <c r="J5" s="81"/>
      <c r="K5" s="81"/>
      <c r="L5" s="81"/>
      <c r="M5" s="82"/>
      <c r="N5" s="83"/>
      <c r="O5" s="70"/>
      <c r="P5" s="70"/>
      <c r="Q5" s="70"/>
      <c r="R5" s="70"/>
      <c r="S5" s="70"/>
      <c r="T5" s="70"/>
      <c r="U5" s="70"/>
      <c r="V5" s="70"/>
      <c r="W5" s="70"/>
      <c r="X5" s="70"/>
      <c r="Y5" s="70"/>
      <c r="Z5" s="70"/>
      <c r="AA5" s="71"/>
      <c r="AB5" s="71"/>
      <c r="AC5" s="84">
        <v>-0.5</v>
      </c>
      <c r="AD5" s="72"/>
      <c r="AE5" s="72"/>
      <c r="AF5" s="72">
        <f>AC5*(E6+P6)</f>
        <v>-1663.0226285214458</v>
      </c>
      <c r="AG5" s="52" t="s">
        <v>129</v>
      </c>
    </row>
    <row r="6" spans="1:32" ht="15">
      <c r="A6" s="85" t="s">
        <v>49</v>
      </c>
      <c r="B6" s="85" t="s">
        <v>50</v>
      </c>
      <c r="C6" s="80">
        <v>8.5</v>
      </c>
      <c r="D6" s="81">
        <v>45075.46727272728</v>
      </c>
      <c r="E6" s="81">
        <f>(D6+G6+H6)*0.02</f>
        <v>1053.503821098182</v>
      </c>
      <c r="F6" s="81">
        <f>E6*AB6</f>
        <v>8954.782479334546</v>
      </c>
      <c r="G6" s="81">
        <f aca="true" t="shared" si="0" ref="G6:G28">+D6*0.0765</f>
        <v>3448.2732463636366</v>
      </c>
      <c r="H6" s="81">
        <f>+D6*0.0921</f>
        <v>4151.450535818182</v>
      </c>
      <c r="I6" s="81">
        <f>1409*12</f>
        <v>16908</v>
      </c>
      <c r="J6" s="81">
        <f>1840*0.2604</f>
        <v>479.136</v>
      </c>
      <c r="K6" s="81">
        <f>SUM(D6,G6:J6)</f>
        <v>70062.3270549091</v>
      </c>
      <c r="L6" s="81">
        <f>K6+E6</f>
        <v>71115.83087600728</v>
      </c>
      <c r="M6" s="82">
        <f>+C6*K6</f>
        <v>595529.7799667274</v>
      </c>
      <c r="N6" s="83">
        <f>M6/C6</f>
        <v>70062.3270549091</v>
      </c>
      <c r="O6" s="70">
        <f>D6</f>
        <v>45075.46727272728</v>
      </c>
      <c r="P6" s="70">
        <f>(D6+E6+R6+S6)*0.0225+E6</f>
        <v>2272.5414359447095</v>
      </c>
      <c r="Q6" s="70">
        <f>P6*C6</f>
        <v>19316.60220553003</v>
      </c>
      <c r="R6" s="81">
        <f aca="true" t="shared" si="1" ref="R6:R20">+O6*0.0765</f>
        <v>3448.2732463636366</v>
      </c>
      <c r="S6" s="81">
        <f aca="true" t="shared" si="2" ref="S6:S20">+O6*0.1021</f>
        <v>4602.205208545455</v>
      </c>
      <c r="T6" s="81">
        <f>1465*12</f>
        <v>17580</v>
      </c>
      <c r="U6" s="81">
        <f>1840*0.2604</f>
        <v>479.136</v>
      </c>
      <c r="V6" s="70">
        <f>SUM(O6,R6:U6)</f>
        <v>71185.08172763637</v>
      </c>
      <c r="W6" s="70">
        <f>V6+P6</f>
        <v>73457.62316358107</v>
      </c>
      <c r="X6" s="70">
        <f aca="true" t="shared" si="3" ref="X6:X20">+C6*V6</f>
        <v>605073.1946849091</v>
      </c>
      <c r="Y6" s="70">
        <f aca="true" t="shared" si="4" ref="Y6:Y20">X6/C6</f>
        <v>71185.08172763637</v>
      </c>
      <c r="Z6" s="70">
        <f aca="true" t="shared" si="5" ref="Z6:Z20">+M6+X6</f>
        <v>1200602.9746516366</v>
      </c>
      <c r="AA6" s="71">
        <f aca="true" t="shared" si="6" ref="AA6:AA20">+Z6/C6</f>
        <v>141247.40878254548</v>
      </c>
      <c r="AB6" s="72">
        <f>C6</f>
        <v>8.5</v>
      </c>
      <c r="AC6" s="86">
        <v>2</v>
      </c>
      <c r="AD6" s="72"/>
      <c r="AE6" s="72"/>
      <c r="AF6" s="71">
        <f>AC6*(E6+P6)</f>
        <v>6652.090514085783</v>
      </c>
    </row>
    <row r="7" spans="1:32" ht="15">
      <c r="A7" s="85" t="s">
        <v>49</v>
      </c>
      <c r="B7" s="85" t="s">
        <v>51</v>
      </c>
      <c r="C7" s="80">
        <v>1</v>
      </c>
      <c r="D7" s="81">
        <v>79687.504</v>
      </c>
      <c r="E7" s="81">
        <f aca="true" t="shared" si="7" ref="E7:E20">(D7+G7+H7)*0.02</f>
        <v>1862.4563434880001</v>
      </c>
      <c r="F7" s="81">
        <f aca="true" t="shared" si="8" ref="F7:F20">E7*AB7</f>
        <v>1862.4563434880001</v>
      </c>
      <c r="G7" s="81">
        <f t="shared" si="0"/>
        <v>6096.094056</v>
      </c>
      <c r="H7" s="81">
        <f aca="true" t="shared" si="9" ref="H7:H28">+D7*0.0921</f>
        <v>7339.2191184</v>
      </c>
      <c r="I7" s="81">
        <f aca="true" t="shared" si="10" ref="I7:I38">1409*12</f>
        <v>16908</v>
      </c>
      <c r="J7" s="81">
        <f aca="true" t="shared" si="11" ref="J7:J38">1840*0.2604</f>
        <v>479.136</v>
      </c>
      <c r="K7" s="81">
        <f aca="true" t="shared" si="12" ref="K7:K20">SUM(D7,G7:J7)</f>
        <v>110509.9531744</v>
      </c>
      <c r="L7" s="81">
        <f aca="true" t="shared" si="13" ref="L7:L20">K7+E7</f>
        <v>112372.409517888</v>
      </c>
      <c r="M7" s="82">
        <f aca="true" t="shared" si="14" ref="M7:M20">+C7*K7</f>
        <v>110509.9531744</v>
      </c>
      <c r="N7" s="83">
        <f aca="true" t="shared" si="15" ref="N7:N20">M7/C7</f>
        <v>110509.9531744</v>
      </c>
      <c r="O7" s="70">
        <f aca="true" t="shared" si="16" ref="O7:O20">D7</f>
        <v>79687.504</v>
      </c>
      <c r="P7" s="70">
        <f aca="true" t="shared" si="17" ref="P7:P20">(D7+E7+R7+S7)*0.0225+E7</f>
        <v>4017.5546860404797</v>
      </c>
      <c r="Q7" s="70">
        <f aca="true" t="shared" si="18" ref="Q7:Q20">P7*C7</f>
        <v>4017.5546860404797</v>
      </c>
      <c r="R7" s="81">
        <f t="shared" si="1"/>
        <v>6096.094056</v>
      </c>
      <c r="S7" s="81">
        <f t="shared" si="2"/>
        <v>8136.0941584</v>
      </c>
      <c r="T7" s="81">
        <f aca="true" t="shared" si="19" ref="T7:T20">1465*12</f>
        <v>17580</v>
      </c>
      <c r="U7" s="81">
        <f aca="true" t="shared" si="20" ref="U7:U38">1840*0.2604</f>
        <v>479.136</v>
      </c>
      <c r="V7" s="70">
        <f aca="true" t="shared" si="21" ref="V7:V20">SUM(O7,R7:U7)</f>
        <v>111978.8282144</v>
      </c>
      <c r="W7" s="70">
        <f aca="true" t="shared" si="22" ref="W7:W20">V7+P7</f>
        <v>115996.38290044048</v>
      </c>
      <c r="X7" s="70">
        <f t="shared" si="3"/>
        <v>111978.8282144</v>
      </c>
      <c r="Y7" s="70">
        <f t="shared" si="4"/>
        <v>111978.8282144</v>
      </c>
      <c r="Z7" s="70">
        <f t="shared" si="5"/>
        <v>222488.7813888</v>
      </c>
      <c r="AA7" s="71">
        <f t="shared" si="6"/>
        <v>222488.7813888</v>
      </c>
      <c r="AB7" s="72">
        <f aca="true" t="shared" si="23" ref="AB7:AB20">C7</f>
        <v>1</v>
      </c>
      <c r="AC7" s="72"/>
      <c r="AD7" s="72"/>
      <c r="AE7" s="72"/>
      <c r="AF7" s="72"/>
    </row>
    <row r="8" spans="1:32" ht="15">
      <c r="A8" s="85" t="s">
        <v>49</v>
      </c>
      <c r="B8" s="87" t="s">
        <v>52</v>
      </c>
      <c r="C8" s="80">
        <v>1</v>
      </c>
      <c r="D8" s="81">
        <v>52311.50080000001</v>
      </c>
      <c r="E8" s="81">
        <f t="shared" si="7"/>
        <v>1222.6243966976</v>
      </c>
      <c r="F8" s="81">
        <f t="shared" si="8"/>
        <v>1222.6243966976</v>
      </c>
      <c r="G8" s="81">
        <f t="shared" si="0"/>
        <v>4001.8298112000007</v>
      </c>
      <c r="H8" s="81">
        <f t="shared" si="9"/>
        <v>4817.889223680001</v>
      </c>
      <c r="I8" s="81">
        <f t="shared" si="10"/>
        <v>16908</v>
      </c>
      <c r="J8" s="81">
        <f t="shared" si="11"/>
        <v>479.136</v>
      </c>
      <c r="K8" s="81">
        <f t="shared" si="12"/>
        <v>78518.35583488</v>
      </c>
      <c r="L8" s="81">
        <f t="shared" si="13"/>
        <v>79740.9802315776</v>
      </c>
      <c r="M8" s="82">
        <f t="shared" si="14"/>
        <v>78518.35583488</v>
      </c>
      <c r="N8" s="83">
        <f t="shared" si="15"/>
        <v>78518.35583488</v>
      </c>
      <c r="O8" s="70">
        <f t="shared" si="16"/>
        <v>52311.50080000001</v>
      </c>
      <c r="P8" s="70">
        <f t="shared" si="17"/>
        <v>2637.3559795880965</v>
      </c>
      <c r="Q8" s="70">
        <f t="shared" si="18"/>
        <v>2637.3559795880965</v>
      </c>
      <c r="R8" s="81">
        <f t="shared" si="1"/>
        <v>4001.8298112000007</v>
      </c>
      <c r="S8" s="81">
        <f t="shared" si="2"/>
        <v>5341.004231680001</v>
      </c>
      <c r="T8" s="81">
        <f t="shared" si="19"/>
        <v>17580</v>
      </c>
      <c r="U8" s="81">
        <f t="shared" si="20"/>
        <v>479.136</v>
      </c>
      <c r="V8" s="70">
        <f t="shared" si="21"/>
        <v>79713.47084288001</v>
      </c>
      <c r="W8" s="70">
        <f t="shared" si="22"/>
        <v>82350.82682246811</v>
      </c>
      <c r="X8" s="70">
        <f t="shared" si="3"/>
        <v>79713.47084288001</v>
      </c>
      <c r="Y8" s="70">
        <f t="shared" si="4"/>
        <v>79713.47084288001</v>
      </c>
      <c r="Z8" s="70">
        <f t="shared" si="5"/>
        <v>158231.82667776</v>
      </c>
      <c r="AA8" s="71">
        <f t="shared" si="6"/>
        <v>158231.82667776</v>
      </c>
      <c r="AB8" s="72">
        <f t="shared" si="23"/>
        <v>1</v>
      </c>
      <c r="AC8" s="72"/>
      <c r="AD8" s="72"/>
      <c r="AE8" s="72"/>
      <c r="AF8" s="72"/>
    </row>
    <row r="9" spans="1:32" ht="15">
      <c r="A9" s="85" t="s">
        <v>49</v>
      </c>
      <c r="B9" s="87" t="s">
        <v>53</v>
      </c>
      <c r="C9" s="80">
        <v>3</v>
      </c>
      <c r="D9" s="81">
        <v>63509.194666666655</v>
      </c>
      <c r="E9" s="81">
        <f t="shared" si="7"/>
        <v>1484.3368977493333</v>
      </c>
      <c r="F9" s="81">
        <f t="shared" si="8"/>
        <v>4453.010693247999</v>
      </c>
      <c r="G9" s="81">
        <f t="shared" si="0"/>
        <v>4858.453391999999</v>
      </c>
      <c r="H9" s="81">
        <f t="shared" si="9"/>
        <v>5849.196828799999</v>
      </c>
      <c r="I9" s="81">
        <f t="shared" si="10"/>
        <v>16908</v>
      </c>
      <c r="J9" s="81">
        <f t="shared" si="11"/>
        <v>479.136</v>
      </c>
      <c r="K9" s="81">
        <f t="shared" si="12"/>
        <v>91603.98088746666</v>
      </c>
      <c r="L9" s="81">
        <f t="shared" si="13"/>
        <v>93088.317785216</v>
      </c>
      <c r="M9" s="82">
        <f t="shared" si="14"/>
        <v>274811.94266239996</v>
      </c>
      <c r="N9" s="83">
        <f t="shared" si="15"/>
        <v>91603.98088746665</v>
      </c>
      <c r="O9" s="70">
        <f t="shared" si="16"/>
        <v>63509.194666666655</v>
      </c>
      <c r="P9" s="70">
        <f t="shared" si="17"/>
        <v>3201.903056716693</v>
      </c>
      <c r="Q9" s="70">
        <f t="shared" si="18"/>
        <v>9605.70917015008</v>
      </c>
      <c r="R9" s="81">
        <f t="shared" si="1"/>
        <v>4858.453391999999</v>
      </c>
      <c r="S9" s="81">
        <f t="shared" si="2"/>
        <v>6484.288775466665</v>
      </c>
      <c r="T9" s="81">
        <f t="shared" si="19"/>
        <v>17580</v>
      </c>
      <c r="U9" s="81">
        <f t="shared" si="20"/>
        <v>479.136</v>
      </c>
      <c r="V9" s="70">
        <f t="shared" si="21"/>
        <v>92911.07283413332</v>
      </c>
      <c r="W9" s="70">
        <f t="shared" si="22"/>
        <v>96112.97589085001</v>
      </c>
      <c r="X9" s="70">
        <f t="shared" si="3"/>
        <v>278733.2185024</v>
      </c>
      <c r="Y9" s="70">
        <f t="shared" si="4"/>
        <v>92911.07283413333</v>
      </c>
      <c r="Z9" s="70">
        <f t="shared" si="5"/>
        <v>553545.1611647999</v>
      </c>
      <c r="AA9" s="71">
        <f t="shared" si="6"/>
        <v>184515.05372159998</v>
      </c>
      <c r="AB9" s="72">
        <f t="shared" si="23"/>
        <v>3</v>
      </c>
      <c r="AC9" s="84">
        <v>-3</v>
      </c>
      <c r="AD9" s="72"/>
      <c r="AE9" s="72"/>
      <c r="AF9" s="71">
        <f>AC9*(E9+P9)</f>
        <v>-14058.719863398077</v>
      </c>
    </row>
    <row r="10" spans="1:32" ht="15">
      <c r="A10" s="85" t="s">
        <v>49</v>
      </c>
      <c r="B10" s="87" t="s">
        <v>54</v>
      </c>
      <c r="C10" s="80">
        <v>1</v>
      </c>
      <c r="D10" s="81">
        <v>75490.89600000001</v>
      </c>
      <c r="E10" s="81">
        <f t="shared" si="7"/>
        <v>1764.373221312</v>
      </c>
      <c r="F10" s="81">
        <f t="shared" si="8"/>
        <v>1764.373221312</v>
      </c>
      <c r="G10" s="81">
        <f t="shared" si="0"/>
        <v>5775.053544</v>
      </c>
      <c r="H10" s="81">
        <f t="shared" si="9"/>
        <v>6952.711521600001</v>
      </c>
      <c r="I10" s="81">
        <f t="shared" si="10"/>
        <v>16908</v>
      </c>
      <c r="J10" s="81">
        <f t="shared" si="11"/>
        <v>479.136</v>
      </c>
      <c r="K10" s="81">
        <f t="shared" si="12"/>
        <v>105605.7970656</v>
      </c>
      <c r="L10" s="81">
        <f t="shared" si="13"/>
        <v>107370.17028691199</v>
      </c>
      <c r="M10" s="82">
        <f t="shared" si="14"/>
        <v>105605.7970656</v>
      </c>
      <c r="N10" s="83">
        <f t="shared" si="15"/>
        <v>105605.7970656</v>
      </c>
      <c r="O10" s="70">
        <f t="shared" si="16"/>
        <v>75490.89600000001</v>
      </c>
      <c r="P10" s="70">
        <f t="shared" si="17"/>
        <v>3805.9769443675195</v>
      </c>
      <c r="Q10" s="70">
        <f t="shared" si="18"/>
        <v>3805.9769443675195</v>
      </c>
      <c r="R10" s="81">
        <f t="shared" si="1"/>
        <v>5775.053544</v>
      </c>
      <c r="S10" s="81">
        <f t="shared" si="2"/>
        <v>7707.620481600001</v>
      </c>
      <c r="T10" s="81">
        <f t="shared" si="19"/>
        <v>17580</v>
      </c>
      <c r="U10" s="81">
        <f t="shared" si="20"/>
        <v>479.136</v>
      </c>
      <c r="V10" s="70">
        <f t="shared" si="21"/>
        <v>107032.7060256</v>
      </c>
      <c r="W10" s="70">
        <f t="shared" si="22"/>
        <v>110838.68296996751</v>
      </c>
      <c r="X10" s="70">
        <f t="shared" si="3"/>
        <v>107032.7060256</v>
      </c>
      <c r="Y10" s="70">
        <f t="shared" si="4"/>
        <v>107032.7060256</v>
      </c>
      <c r="Z10" s="70">
        <f t="shared" si="5"/>
        <v>212638.5030912</v>
      </c>
      <c r="AA10" s="71">
        <f t="shared" si="6"/>
        <v>212638.5030912</v>
      </c>
      <c r="AB10" s="72">
        <f t="shared" si="23"/>
        <v>1</v>
      </c>
      <c r="AC10" s="88"/>
      <c r="AD10" s="72"/>
      <c r="AE10" s="72"/>
      <c r="AF10" s="72"/>
    </row>
    <row r="11" spans="1:32" ht="15">
      <c r="A11" s="85" t="s">
        <v>49</v>
      </c>
      <c r="B11" s="85" t="s">
        <v>55</v>
      </c>
      <c r="C11" s="80">
        <v>1</v>
      </c>
      <c r="D11" s="81">
        <v>49544.976</v>
      </c>
      <c r="E11" s="81">
        <f t="shared" si="7"/>
        <v>1157.965179072</v>
      </c>
      <c r="F11" s="81">
        <f t="shared" si="8"/>
        <v>1157.965179072</v>
      </c>
      <c r="G11" s="81">
        <f t="shared" si="0"/>
        <v>3790.190664</v>
      </c>
      <c r="H11" s="81">
        <f t="shared" si="9"/>
        <v>4563.0922896</v>
      </c>
      <c r="I11" s="81">
        <f t="shared" si="10"/>
        <v>16908</v>
      </c>
      <c r="J11" s="81">
        <f t="shared" si="11"/>
        <v>479.136</v>
      </c>
      <c r="K11" s="81">
        <f t="shared" si="12"/>
        <v>75285.3949536</v>
      </c>
      <c r="L11" s="81">
        <f t="shared" si="13"/>
        <v>76443.360132672</v>
      </c>
      <c r="M11" s="82">
        <f t="shared" si="14"/>
        <v>75285.3949536</v>
      </c>
      <c r="N11" s="83">
        <f t="shared" si="15"/>
        <v>75285.3949536</v>
      </c>
      <c r="O11" s="70">
        <f t="shared" si="16"/>
        <v>49544.976</v>
      </c>
      <c r="P11" s="70">
        <f t="shared" si="17"/>
        <v>2497.8778416571204</v>
      </c>
      <c r="Q11" s="70">
        <f t="shared" si="18"/>
        <v>2497.8778416571204</v>
      </c>
      <c r="R11" s="81">
        <f t="shared" si="1"/>
        <v>3790.190664</v>
      </c>
      <c r="S11" s="81">
        <f t="shared" si="2"/>
        <v>5058.5420496</v>
      </c>
      <c r="T11" s="81">
        <f t="shared" si="19"/>
        <v>17580</v>
      </c>
      <c r="U11" s="81">
        <f t="shared" si="20"/>
        <v>479.136</v>
      </c>
      <c r="V11" s="70">
        <f t="shared" si="21"/>
        <v>76452.8447136</v>
      </c>
      <c r="W11" s="70">
        <f t="shared" si="22"/>
        <v>78950.72255525712</v>
      </c>
      <c r="X11" s="70">
        <f t="shared" si="3"/>
        <v>76452.8447136</v>
      </c>
      <c r="Y11" s="70">
        <f t="shared" si="4"/>
        <v>76452.8447136</v>
      </c>
      <c r="Z11" s="70">
        <f t="shared" si="5"/>
        <v>151738.23966720002</v>
      </c>
      <c r="AA11" s="71">
        <f t="shared" si="6"/>
        <v>151738.23966720002</v>
      </c>
      <c r="AB11" s="72">
        <f t="shared" si="23"/>
        <v>1</v>
      </c>
      <c r="AC11" s="88"/>
      <c r="AD11" s="72"/>
      <c r="AE11" s="72"/>
      <c r="AF11" s="72"/>
    </row>
    <row r="12" spans="1:32" ht="15">
      <c r="A12" s="85" t="s">
        <v>49</v>
      </c>
      <c r="B12" s="85" t="s">
        <v>56</v>
      </c>
      <c r="C12" s="80">
        <v>1</v>
      </c>
      <c r="D12" s="81">
        <v>77488</v>
      </c>
      <c r="E12" s="81">
        <f t="shared" si="7"/>
        <v>1811.0495359999998</v>
      </c>
      <c r="F12" s="81">
        <f t="shared" si="8"/>
        <v>1811.0495359999998</v>
      </c>
      <c r="G12" s="81">
        <f t="shared" si="0"/>
        <v>5927.832</v>
      </c>
      <c r="H12" s="81">
        <f t="shared" si="9"/>
        <v>7136.6448</v>
      </c>
      <c r="I12" s="81">
        <f t="shared" si="10"/>
        <v>16908</v>
      </c>
      <c r="J12" s="81">
        <f t="shared" si="11"/>
        <v>479.136</v>
      </c>
      <c r="K12" s="81">
        <f t="shared" si="12"/>
        <v>107939.61279999999</v>
      </c>
      <c r="L12" s="81">
        <f t="shared" si="13"/>
        <v>109750.662336</v>
      </c>
      <c r="M12" s="82">
        <f t="shared" si="14"/>
        <v>107939.61279999999</v>
      </c>
      <c r="N12" s="83">
        <f t="shared" si="15"/>
        <v>107939.61279999999</v>
      </c>
      <c r="O12" s="70">
        <f t="shared" si="16"/>
        <v>77488</v>
      </c>
      <c r="P12" s="70">
        <f t="shared" si="17"/>
        <v>3906.6636785599994</v>
      </c>
      <c r="Q12" s="70">
        <f t="shared" si="18"/>
        <v>3906.6636785599994</v>
      </c>
      <c r="R12" s="81">
        <f t="shared" si="1"/>
        <v>5927.832</v>
      </c>
      <c r="S12" s="81">
        <f t="shared" si="2"/>
        <v>7911.5248</v>
      </c>
      <c r="T12" s="81">
        <f t="shared" si="19"/>
        <v>17580</v>
      </c>
      <c r="U12" s="81">
        <f t="shared" si="20"/>
        <v>479.136</v>
      </c>
      <c r="V12" s="70">
        <f t="shared" si="21"/>
        <v>109386.49279999999</v>
      </c>
      <c r="W12" s="70">
        <f t="shared" si="22"/>
        <v>113293.15647855999</v>
      </c>
      <c r="X12" s="70">
        <f t="shared" si="3"/>
        <v>109386.49279999999</v>
      </c>
      <c r="Y12" s="70">
        <f t="shared" si="4"/>
        <v>109386.49279999999</v>
      </c>
      <c r="Z12" s="70">
        <f t="shared" si="5"/>
        <v>217326.10559999998</v>
      </c>
      <c r="AA12" s="71">
        <f t="shared" si="6"/>
        <v>217326.10559999998</v>
      </c>
      <c r="AB12" s="72">
        <f t="shared" si="23"/>
        <v>1</v>
      </c>
      <c r="AC12" s="88"/>
      <c r="AD12" s="72"/>
      <c r="AE12" s="72"/>
      <c r="AF12" s="72"/>
    </row>
    <row r="13" spans="1:32" ht="15">
      <c r="A13" s="85" t="s">
        <v>49</v>
      </c>
      <c r="B13" s="87" t="s">
        <v>57</v>
      </c>
      <c r="C13" s="80">
        <v>1</v>
      </c>
      <c r="D13" s="81">
        <v>77198</v>
      </c>
      <c r="E13" s="81">
        <f t="shared" si="7"/>
        <v>1804.2716560000001</v>
      </c>
      <c r="F13" s="81">
        <f t="shared" si="8"/>
        <v>1804.2716560000001</v>
      </c>
      <c r="G13" s="81">
        <f t="shared" si="0"/>
        <v>5905.647</v>
      </c>
      <c r="H13" s="81">
        <f t="shared" si="9"/>
        <v>7109.9358</v>
      </c>
      <c r="I13" s="81">
        <f t="shared" si="10"/>
        <v>16908</v>
      </c>
      <c r="J13" s="81">
        <f t="shared" si="11"/>
        <v>479.136</v>
      </c>
      <c r="K13" s="81">
        <f t="shared" si="12"/>
        <v>107600.7188</v>
      </c>
      <c r="L13" s="81">
        <f t="shared" si="13"/>
        <v>109404.990456</v>
      </c>
      <c r="M13" s="82">
        <f t="shared" si="14"/>
        <v>107600.7188</v>
      </c>
      <c r="N13" s="83">
        <f t="shared" si="15"/>
        <v>107600.7188</v>
      </c>
      <c r="O13" s="70">
        <f t="shared" si="16"/>
        <v>77198</v>
      </c>
      <c r="P13" s="70">
        <f t="shared" si="17"/>
        <v>3892.04293126</v>
      </c>
      <c r="Q13" s="70">
        <f t="shared" si="18"/>
        <v>3892.04293126</v>
      </c>
      <c r="R13" s="81">
        <f t="shared" si="1"/>
        <v>5905.647</v>
      </c>
      <c r="S13" s="81">
        <f t="shared" si="2"/>
        <v>7881.9158</v>
      </c>
      <c r="T13" s="81">
        <f t="shared" si="19"/>
        <v>17580</v>
      </c>
      <c r="U13" s="81">
        <f t="shared" si="20"/>
        <v>479.136</v>
      </c>
      <c r="V13" s="70">
        <f t="shared" si="21"/>
        <v>109044.6988</v>
      </c>
      <c r="W13" s="70">
        <f t="shared" si="22"/>
        <v>112936.74173126</v>
      </c>
      <c r="X13" s="70">
        <f t="shared" si="3"/>
        <v>109044.6988</v>
      </c>
      <c r="Y13" s="70">
        <f t="shared" si="4"/>
        <v>109044.6988</v>
      </c>
      <c r="Z13" s="70">
        <f t="shared" si="5"/>
        <v>216645.4176</v>
      </c>
      <c r="AA13" s="71">
        <f t="shared" si="6"/>
        <v>216645.4176</v>
      </c>
      <c r="AB13" s="72">
        <f t="shared" si="23"/>
        <v>1</v>
      </c>
      <c r="AC13" s="88"/>
      <c r="AD13" s="72"/>
      <c r="AE13" s="72"/>
      <c r="AF13" s="72"/>
    </row>
    <row r="14" spans="1:32" ht="15">
      <c r="A14" s="85" t="s">
        <v>49</v>
      </c>
      <c r="B14" s="87" t="s">
        <v>58</v>
      </c>
      <c r="C14" s="80">
        <v>1</v>
      </c>
      <c r="D14" s="81">
        <v>84549.712</v>
      </c>
      <c r="E14" s="81">
        <f t="shared" si="7"/>
        <v>1976.095868864</v>
      </c>
      <c r="F14" s="81">
        <f t="shared" si="8"/>
        <v>1976.095868864</v>
      </c>
      <c r="G14" s="81">
        <f t="shared" si="0"/>
        <v>6468.052968</v>
      </c>
      <c r="H14" s="81">
        <f t="shared" si="9"/>
        <v>7787.0284752</v>
      </c>
      <c r="I14" s="81">
        <f t="shared" si="10"/>
        <v>16908</v>
      </c>
      <c r="J14" s="81">
        <f t="shared" si="11"/>
        <v>479.136</v>
      </c>
      <c r="K14" s="81">
        <f t="shared" si="12"/>
        <v>116191.9294432</v>
      </c>
      <c r="L14" s="81">
        <f t="shared" si="13"/>
        <v>118168.025312064</v>
      </c>
      <c r="M14" s="82">
        <f t="shared" si="14"/>
        <v>116191.9294432</v>
      </c>
      <c r="N14" s="83">
        <f t="shared" si="15"/>
        <v>116191.9294432</v>
      </c>
      <c r="O14" s="70">
        <f t="shared" si="16"/>
        <v>84549.712</v>
      </c>
      <c r="P14" s="70">
        <f t="shared" si="17"/>
        <v>4262.68956358544</v>
      </c>
      <c r="Q14" s="70">
        <f t="shared" si="18"/>
        <v>4262.68956358544</v>
      </c>
      <c r="R14" s="81">
        <f t="shared" si="1"/>
        <v>6468.052968</v>
      </c>
      <c r="S14" s="81">
        <f t="shared" si="2"/>
        <v>8632.525595199999</v>
      </c>
      <c r="T14" s="81">
        <f t="shared" si="19"/>
        <v>17580</v>
      </c>
      <c r="U14" s="81">
        <f t="shared" si="20"/>
        <v>479.136</v>
      </c>
      <c r="V14" s="70">
        <f t="shared" si="21"/>
        <v>117709.4265632</v>
      </c>
      <c r="W14" s="70">
        <f t="shared" si="22"/>
        <v>121972.11612678545</v>
      </c>
      <c r="X14" s="70">
        <f t="shared" si="3"/>
        <v>117709.4265632</v>
      </c>
      <c r="Y14" s="70">
        <f t="shared" si="4"/>
        <v>117709.4265632</v>
      </c>
      <c r="Z14" s="70">
        <f t="shared" si="5"/>
        <v>233901.35600640002</v>
      </c>
      <c r="AA14" s="71">
        <f t="shared" si="6"/>
        <v>233901.35600640002</v>
      </c>
      <c r="AB14" s="72">
        <f t="shared" si="23"/>
        <v>1</v>
      </c>
      <c r="AC14" s="88"/>
      <c r="AD14" s="72"/>
      <c r="AE14" s="72"/>
      <c r="AF14" s="72"/>
    </row>
    <row r="15" spans="1:32" ht="15">
      <c r="A15" s="85" t="s">
        <v>49</v>
      </c>
      <c r="B15" s="85" t="s">
        <v>59</v>
      </c>
      <c r="C15" s="80">
        <v>1</v>
      </c>
      <c r="D15" s="81">
        <v>46142.304000000004</v>
      </c>
      <c r="E15" s="81">
        <f t="shared" si="7"/>
        <v>1078.4379290880001</v>
      </c>
      <c r="F15" s="81">
        <f t="shared" si="8"/>
        <v>1078.4379290880001</v>
      </c>
      <c r="G15" s="81">
        <f t="shared" si="0"/>
        <v>3529.8862560000002</v>
      </c>
      <c r="H15" s="81">
        <f t="shared" si="9"/>
        <v>4249.7061984</v>
      </c>
      <c r="I15" s="81">
        <f t="shared" si="10"/>
        <v>16908</v>
      </c>
      <c r="J15" s="81">
        <f t="shared" si="11"/>
        <v>479.136</v>
      </c>
      <c r="K15" s="81">
        <f t="shared" si="12"/>
        <v>71309.0324544</v>
      </c>
      <c r="L15" s="81">
        <f t="shared" si="13"/>
        <v>72387.470383488</v>
      </c>
      <c r="M15" s="82">
        <f t="shared" si="14"/>
        <v>71309.0324544</v>
      </c>
      <c r="N15" s="83">
        <f t="shared" si="15"/>
        <v>71309.0324544</v>
      </c>
      <c r="O15" s="70">
        <f t="shared" si="16"/>
        <v>46142.304000000004</v>
      </c>
      <c r="P15" s="70">
        <f t="shared" si="17"/>
        <v>2326.3274711164804</v>
      </c>
      <c r="Q15" s="70">
        <f t="shared" si="18"/>
        <v>2326.3274711164804</v>
      </c>
      <c r="R15" s="81">
        <f t="shared" si="1"/>
        <v>3529.8862560000002</v>
      </c>
      <c r="S15" s="81">
        <f t="shared" si="2"/>
        <v>4711.1292384</v>
      </c>
      <c r="T15" s="81">
        <f t="shared" si="19"/>
        <v>17580</v>
      </c>
      <c r="U15" s="81">
        <f t="shared" si="20"/>
        <v>479.136</v>
      </c>
      <c r="V15" s="70">
        <f t="shared" si="21"/>
        <v>72442.4554944</v>
      </c>
      <c r="W15" s="70">
        <f t="shared" si="22"/>
        <v>74768.78296551648</v>
      </c>
      <c r="X15" s="70">
        <f t="shared" si="3"/>
        <v>72442.4554944</v>
      </c>
      <c r="Y15" s="70">
        <f t="shared" si="4"/>
        <v>72442.4554944</v>
      </c>
      <c r="Z15" s="70">
        <f t="shared" si="5"/>
        <v>143751.4879488</v>
      </c>
      <c r="AA15" s="71">
        <f t="shared" si="6"/>
        <v>143751.4879488</v>
      </c>
      <c r="AB15" s="72">
        <f t="shared" si="23"/>
        <v>1</v>
      </c>
      <c r="AC15" s="88"/>
      <c r="AD15" s="72"/>
      <c r="AE15" s="72"/>
      <c r="AF15" s="72"/>
    </row>
    <row r="16" spans="1:32" ht="15">
      <c r="A16" s="85" t="s">
        <v>49</v>
      </c>
      <c r="B16" s="87" t="s">
        <v>60</v>
      </c>
      <c r="C16" s="80">
        <v>1</v>
      </c>
      <c r="D16" s="81">
        <v>149970.288</v>
      </c>
      <c r="E16" s="81">
        <f t="shared" si="7"/>
        <v>3505.1055711359995</v>
      </c>
      <c r="F16" s="81">
        <f t="shared" si="8"/>
        <v>3505.1055711359995</v>
      </c>
      <c r="G16" s="81">
        <f t="shared" si="0"/>
        <v>11472.727032</v>
      </c>
      <c r="H16" s="81">
        <f t="shared" si="9"/>
        <v>13812.2635248</v>
      </c>
      <c r="I16" s="81">
        <f t="shared" si="10"/>
        <v>16908</v>
      </c>
      <c r="J16" s="81">
        <f t="shared" si="11"/>
        <v>479.136</v>
      </c>
      <c r="K16" s="81">
        <f t="shared" si="12"/>
        <v>192642.41455679998</v>
      </c>
      <c r="L16" s="81">
        <f t="shared" si="13"/>
        <v>196147.52012793598</v>
      </c>
      <c r="M16" s="82">
        <f t="shared" si="14"/>
        <v>192642.41455679998</v>
      </c>
      <c r="N16" s="83">
        <f t="shared" si="15"/>
        <v>192642.41455679998</v>
      </c>
      <c r="O16" s="70">
        <f t="shared" si="16"/>
        <v>149970.288</v>
      </c>
      <c r="P16" s="70">
        <f t="shared" si="17"/>
        <v>7560.957528814559</v>
      </c>
      <c r="Q16" s="70">
        <f t="shared" si="18"/>
        <v>7560.957528814559</v>
      </c>
      <c r="R16" s="81">
        <f t="shared" si="1"/>
        <v>11472.727032</v>
      </c>
      <c r="S16" s="81">
        <f t="shared" si="2"/>
        <v>15311.9664048</v>
      </c>
      <c r="T16" s="81">
        <f t="shared" si="19"/>
        <v>17580</v>
      </c>
      <c r="U16" s="81">
        <f t="shared" si="20"/>
        <v>479.136</v>
      </c>
      <c r="V16" s="70">
        <f t="shared" si="21"/>
        <v>194814.1174368</v>
      </c>
      <c r="W16" s="70">
        <f t="shared" si="22"/>
        <v>202375.07496561456</v>
      </c>
      <c r="X16" s="70">
        <f t="shared" si="3"/>
        <v>194814.1174368</v>
      </c>
      <c r="Y16" s="70">
        <f t="shared" si="4"/>
        <v>194814.1174368</v>
      </c>
      <c r="Z16" s="70">
        <f t="shared" si="5"/>
        <v>387456.53199359996</v>
      </c>
      <c r="AA16" s="71">
        <f t="shared" si="6"/>
        <v>387456.53199359996</v>
      </c>
      <c r="AB16" s="72">
        <f t="shared" si="23"/>
        <v>1</v>
      </c>
      <c r="AC16" s="84">
        <v>-1</v>
      </c>
      <c r="AD16" s="72"/>
      <c r="AE16" s="72"/>
      <c r="AF16" s="71">
        <f>AC16*(E16+P16)</f>
        <v>-11066.06309995056</v>
      </c>
    </row>
    <row r="17" spans="1:32" ht="15">
      <c r="A17" s="85" t="s">
        <v>49</v>
      </c>
      <c r="B17" s="87" t="s">
        <v>61</v>
      </c>
      <c r="C17" s="80">
        <v>4</v>
      </c>
      <c r="D17" s="81">
        <v>76000</v>
      </c>
      <c r="E17" s="81">
        <f t="shared" si="7"/>
        <v>1776.2720000000002</v>
      </c>
      <c r="F17" s="81">
        <f t="shared" si="8"/>
        <v>0</v>
      </c>
      <c r="G17" s="81">
        <f t="shared" si="0"/>
        <v>5814</v>
      </c>
      <c r="H17" s="81">
        <f t="shared" si="9"/>
        <v>6999.6</v>
      </c>
      <c r="I17" s="81">
        <f t="shared" si="10"/>
        <v>16908</v>
      </c>
      <c r="J17" s="81">
        <f t="shared" si="11"/>
        <v>479.136</v>
      </c>
      <c r="K17" s="81">
        <f t="shared" si="12"/>
        <v>106200.736</v>
      </c>
      <c r="L17" s="81">
        <f t="shared" si="13"/>
        <v>107977.008</v>
      </c>
      <c r="M17" s="82">
        <f t="shared" si="14"/>
        <v>424802.944</v>
      </c>
      <c r="N17" s="83">
        <f t="shared" si="15"/>
        <v>106200.736</v>
      </c>
      <c r="O17" s="70">
        <f t="shared" si="16"/>
        <v>76000</v>
      </c>
      <c r="P17" s="70">
        <f t="shared" si="17"/>
        <v>3831.64412</v>
      </c>
      <c r="Q17" s="70">
        <f t="shared" si="18"/>
        <v>15326.57648</v>
      </c>
      <c r="R17" s="81">
        <f t="shared" si="1"/>
        <v>5814</v>
      </c>
      <c r="S17" s="81">
        <f t="shared" si="2"/>
        <v>7759.599999999999</v>
      </c>
      <c r="T17" s="81">
        <f t="shared" si="19"/>
        <v>17580</v>
      </c>
      <c r="U17" s="81">
        <f t="shared" si="20"/>
        <v>479.136</v>
      </c>
      <c r="V17" s="70">
        <f t="shared" si="21"/>
        <v>107632.736</v>
      </c>
      <c r="W17" s="70">
        <f t="shared" si="22"/>
        <v>111464.38012</v>
      </c>
      <c r="X17" s="70">
        <f t="shared" si="3"/>
        <v>430530.944</v>
      </c>
      <c r="Y17" s="70">
        <f t="shared" si="4"/>
        <v>107632.736</v>
      </c>
      <c r="Z17" s="70">
        <f t="shared" si="5"/>
        <v>855333.888</v>
      </c>
      <c r="AA17" s="71">
        <f t="shared" si="6"/>
        <v>213833.472</v>
      </c>
      <c r="AB17" s="72">
        <v>0</v>
      </c>
      <c r="AC17" s="86">
        <v>4</v>
      </c>
      <c r="AD17" s="72"/>
      <c r="AE17" s="72"/>
      <c r="AF17" s="71">
        <f>AC17*(E17+P17)</f>
        <v>22431.66448</v>
      </c>
    </row>
    <row r="18" spans="1:32" ht="15">
      <c r="A18" s="85" t="s">
        <v>49</v>
      </c>
      <c r="B18" s="85" t="s">
        <v>62</v>
      </c>
      <c r="C18" s="80">
        <v>3</v>
      </c>
      <c r="D18" s="81">
        <v>70521.3090106007</v>
      </c>
      <c r="E18" s="81">
        <f t="shared" si="7"/>
        <v>1648.2240341957597</v>
      </c>
      <c r="F18" s="81">
        <f t="shared" si="8"/>
        <v>4944.672102587279</v>
      </c>
      <c r="G18" s="81">
        <f t="shared" si="0"/>
        <v>5394.880139310953</v>
      </c>
      <c r="H18" s="81">
        <f t="shared" si="9"/>
        <v>6495.012559876324</v>
      </c>
      <c r="I18" s="81">
        <f t="shared" si="10"/>
        <v>16908</v>
      </c>
      <c r="J18" s="81">
        <f t="shared" si="11"/>
        <v>479.136</v>
      </c>
      <c r="K18" s="81">
        <f t="shared" si="12"/>
        <v>99798.33770978799</v>
      </c>
      <c r="L18" s="81">
        <f t="shared" si="13"/>
        <v>101446.56174398375</v>
      </c>
      <c r="M18" s="82">
        <f t="shared" si="14"/>
        <v>299395.01312936394</v>
      </c>
      <c r="N18" s="83">
        <f t="shared" si="15"/>
        <v>99798.33770978799</v>
      </c>
      <c r="O18" s="70">
        <f t="shared" si="16"/>
        <v>70521.3090106007</v>
      </c>
      <c r="P18" s="70">
        <f t="shared" si="17"/>
        <v>3555.428407962779</v>
      </c>
      <c r="Q18" s="70">
        <f t="shared" si="18"/>
        <v>10666.285223888337</v>
      </c>
      <c r="R18" s="81">
        <f t="shared" si="1"/>
        <v>5394.880139310953</v>
      </c>
      <c r="S18" s="81">
        <f t="shared" si="2"/>
        <v>7200.225649982332</v>
      </c>
      <c r="T18" s="81">
        <f t="shared" si="19"/>
        <v>17580</v>
      </c>
      <c r="U18" s="81">
        <f t="shared" si="20"/>
        <v>479.136</v>
      </c>
      <c r="V18" s="70">
        <f t="shared" si="21"/>
        <v>101175.55079989399</v>
      </c>
      <c r="W18" s="70">
        <f t="shared" si="22"/>
        <v>104730.97920785677</v>
      </c>
      <c r="X18" s="70">
        <f t="shared" si="3"/>
        <v>303526.652399682</v>
      </c>
      <c r="Y18" s="70">
        <f t="shared" si="4"/>
        <v>101175.55079989399</v>
      </c>
      <c r="Z18" s="70">
        <f t="shared" si="5"/>
        <v>602921.665529046</v>
      </c>
      <c r="AA18" s="71">
        <f t="shared" si="6"/>
        <v>200973.888509682</v>
      </c>
      <c r="AB18" s="72">
        <f t="shared" si="23"/>
        <v>3</v>
      </c>
      <c r="AC18" s="72"/>
      <c r="AD18" s="72"/>
      <c r="AE18" s="72"/>
      <c r="AF18" s="72"/>
    </row>
    <row r="19" spans="1:32" ht="15">
      <c r="A19" s="85" t="s">
        <v>49</v>
      </c>
      <c r="B19" s="87" t="s">
        <v>63</v>
      </c>
      <c r="C19" s="80">
        <v>4</v>
      </c>
      <c r="D19" s="81">
        <v>66845</v>
      </c>
      <c r="E19" s="81">
        <f t="shared" si="7"/>
        <v>1562.30134</v>
      </c>
      <c r="F19" s="81">
        <f t="shared" si="8"/>
        <v>6249.20536</v>
      </c>
      <c r="G19" s="81">
        <f t="shared" si="0"/>
        <v>5113.6425</v>
      </c>
      <c r="H19" s="81">
        <f t="shared" si="9"/>
        <v>6156.4245</v>
      </c>
      <c r="I19" s="81">
        <f t="shared" si="10"/>
        <v>16908</v>
      </c>
      <c r="J19" s="81">
        <f t="shared" si="11"/>
        <v>479.136</v>
      </c>
      <c r="K19" s="81">
        <f t="shared" si="12"/>
        <v>95502.203</v>
      </c>
      <c r="L19" s="81">
        <f t="shared" si="13"/>
        <v>97064.50434</v>
      </c>
      <c r="M19" s="82">
        <f t="shared" si="14"/>
        <v>382008.812</v>
      </c>
      <c r="N19" s="83">
        <f t="shared" si="15"/>
        <v>95502.203</v>
      </c>
      <c r="O19" s="70">
        <f t="shared" si="16"/>
        <v>66845</v>
      </c>
      <c r="P19" s="70">
        <f t="shared" si="17"/>
        <v>3370.08225265</v>
      </c>
      <c r="Q19" s="70">
        <f t="shared" si="18"/>
        <v>13480.3290106</v>
      </c>
      <c r="R19" s="81">
        <f t="shared" si="1"/>
        <v>5113.6425</v>
      </c>
      <c r="S19" s="81">
        <f t="shared" si="2"/>
        <v>6824.8745</v>
      </c>
      <c r="T19" s="81">
        <f t="shared" si="19"/>
        <v>17580</v>
      </c>
      <c r="U19" s="81">
        <f t="shared" si="20"/>
        <v>479.136</v>
      </c>
      <c r="V19" s="70">
        <f t="shared" si="21"/>
        <v>96842.653</v>
      </c>
      <c r="W19" s="70">
        <f t="shared" si="22"/>
        <v>100212.73525265</v>
      </c>
      <c r="X19" s="70">
        <f t="shared" si="3"/>
        <v>387370.612</v>
      </c>
      <c r="Y19" s="70">
        <f t="shared" si="4"/>
        <v>96842.653</v>
      </c>
      <c r="Z19" s="70">
        <f t="shared" si="5"/>
        <v>769379.424</v>
      </c>
      <c r="AA19" s="71">
        <f t="shared" si="6"/>
        <v>192344.856</v>
      </c>
      <c r="AB19" s="72">
        <f t="shared" si="23"/>
        <v>4</v>
      </c>
      <c r="AC19" s="72"/>
      <c r="AD19" s="72"/>
      <c r="AE19" s="72"/>
      <c r="AF19" s="72"/>
    </row>
    <row r="20" spans="1:32" ht="15">
      <c r="A20" s="85" t="s">
        <v>49</v>
      </c>
      <c r="B20" s="87" t="s">
        <v>64</v>
      </c>
      <c r="C20" s="80">
        <v>5.75</v>
      </c>
      <c r="D20" s="81">
        <v>53434</v>
      </c>
      <c r="E20" s="81">
        <f t="shared" si="7"/>
        <v>1248.859448</v>
      </c>
      <c r="F20" s="81">
        <f t="shared" si="8"/>
        <v>7180.941825999999</v>
      </c>
      <c r="G20" s="81">
        <f t="shared" si="0"/>
        <v>4087.701</v>
      </c>
      <c r="H20" s="81">
        <f t="shared" si="9"/>
        <v>4921.2714</v>
      </c>
      <c r="I20" s="81">
        <f t="shared" si="10"/>
        <v>16908</v>
      </c>
      <c r="J20" s="81">
        <f t="shared" si="11"/>
        <v>479.136</v>
      </c>
      <c r="K20" s="81">
        <f t="shared" si="12"/>
        <v>79830.1084</v>
      </c>
      <c r="L20" s="81">
        <f t="shared" si="13"/>
        <v>81078.967848</v>
      </c>
      <c r="M20" s="82">
        <f t="shared" si="14"/>
        <v>459023.1233</v>
      </c>
      <c r="N20" s="83">
        <f t="shared" si="15"/>
        <v>79830.1084</v>
      </c>
      <c r="O20" s="70">
        <f t="shared" si="16"/>
        <v>53434</v>
      </c>
      <c r="P20" s="70">
        <f t="shared" si="17"/>
        <v>2693.94831458</v>
      </c>
      <c r="Q20" s="70">
        <f t="shared" si="18"/>
        <v>15490.202808835</v>
      </c>
      <c r="R20" s="81">
        <f t="shared" si="1"/>
        <v>4087.701</v>
      </c>
      <c r="S20" s="81">
        <f t="shared" si="2"/>
        <v>5455.6114</v>
      </c>
      <c r="T20" s="81">
        <f t="shared" si="19"/>
        <v>17580</v>
      </c>
      <c r="U20" s="81">
        <f t="shared" si="20"/>
        <v>479.136</v>
      </c>
      <c r="V20" s="70">
        <f t="shared" si="21"/>
        <v>81036.4484</v>
      </c>
      <c r="W20" s="70">
        <f t="shared" si="22"/>
        <v>83730.39671458</v>
      </c>
      <c r="X20" s="70">
        <f t="shared" si="3"/>
        <v>465959.57829999994</v>
      </c>
      <c r="Y20" s="70">
        <f t="shared" si="4"/>
        <v>81036.4484</v>
      </c>
      <c r="Z20" s="70">
        <f t="shared" si="5"/>
        <v>924982.7015999999</v>
      </c>
      <c r="AA20" s="71">
        <f t="shared" si="6"/>
        <v>160866.5568</v>
      </c>
      <c r="AB20" s="72">
        <f t="shared" si="23"/>
        <v>5.75</v>
      </c>
      <c r="AC20" s="72"/>
      <c r="AD20" s="72"/>
      <c r="AE20" s="72"/>
      <c r="AF20" s="72"/>
    </row>
    <row r="21" spans="1:32" ht="15">
      <c r="A21" s="89" t="s">
        <v>65</v>
      </c>
      <c r="B21" s="89"/>
      <c r="C21" s="90">
        <f aca="true" t="shared" si="24" ref="C21:Z21">SUM(C6:C20)</f>
        <v>37.25</v>
      </c>
      <c r="D21" s="91">
        <f t="shared" si="24"/>
        <v>1067768.1517499946</v>
      </c>
      <c r="E21" s="91">
        <f t="shared" si="24"/>
        <v>24955.877242700877</v>
      </c>
      <c r="F21" s="91">
        <f>SUM(F6:F20)</f>
        <v>47964.99216282742</v>
      </c>
      <c r="G21" s="91">
        <f t="shared" si="24"/>
        <v>81684.2636088746</v>
      </c>
      <c r="H21" s="91">
        <f t="shared" si="24"/>
        <v>98341.44677617452</v>
      </c>
      <c r="I21" s="91">
        <f t="shared" si="24"/>
        <v>253620</v>
      </c>
      <c r="J21" s="91">
        <f t="shared" si="24"/>
        <v>7187.040000000003</v>
      </c>
      <c r="K21" s="91">
        <f t="shared" si="24"/>
        <v>1508600.9021350439</v>
      </c>
      <c r="L21" s="91"/>
      <c r="M21" s="91">
        <f t="shared" si="24"/>
        <v>3401174.824141371</v>
      </c>
      <c r="N21" s="91"/>
      <c r="O21" s="91">
        <f t="shared" si="24"/>
        <v>1067768.1517499946</v>
      </c>
      <c r="P21" s="91"/>
      <c r="Q21" s="91">
        <f>SUM(Q6:Q20)</f>
        <v>118793.15152399315</v>
      </c>
      <c r="R21" s="91">
        <f t="shared" si="24"/>
        <v>81684.2636088746</v>
      </c>
      <c r="S21" s="91">
        <f t="shared" si="24"/>
        <v>109019.12829367445</v>
      </c>
      <c r="T21" s="91">
        <f t="shared" si="24"/>
        <v>263700</v>
      </c>
      <c r="U21" s="91">
        <f t="shared" si="24"/>
        <v>7187.040000000003</v>
      </c>
      <c r="V21" s="91">
        <f t="shared" si="24"/>
        <v>1529358.5836525434</v>
      </c>
      <c r="W21" s="91"/>
      <c r="X21" s="91">
        <f t="shared" si="24"/>
        <v>3449769.2407778706</v>
      </c>
      <c r="Y21" s="91"/>
      <c r="Z21" s="91">
        <f t="shared" si="24"/>
        <v>6850944.064919243</v>
      </c>
      <c r="AA21" s="71"/>
      <c r="AB21" s="71"/>
      <c r="AC21" s="72"/>
      <c r="AD21" s="72"/>
      <c r="AE21" s="72"/>
      <c r="AF21" s="72"/>
    </row>
    <row r="22" spans="1:32" ht="15">
      <c r="A22" s="89"/>
      <c r="B22" s="89"/>
      <c r="C22" s="90"/>
      <c r="D22" s="92"/>
      <c r="E22" s="81">
        <f>+D22*0.02</f>
        <v>0</v>
      </c>
      <c r="F22" s="81"/>
      <c r="G22" s="81">
        <f t="shared" si="0"/>
        <v>0</v>
      </c>
      <c r="H22" s="81">
        <f t="shared" si="9"/>
        <v>0</v>
      </c>
      <c r="I22" s="81"/>
      <c r="J22" s="81"/>
      <c r="K22" s="81"/>
      <c r="L22" s="81"/>
      <c r="M22" s="93"/>
      <c r="N22" s="92"/>
      <c r="O22" s="70"/>
      <c r="P22" s="70"/>
      <c r="Q22" s="70"/>
      <c r="R22" s="81"/>
      <c r="S22" s="81"/>
      <c r="T22" s="81"/>
      <c r="U22" s="81"/>
      <c r="V22" s="70"/>
      <c r="W22" s="70"/>
      <c r="X22" s="70"/>
      <c r="Y22" s="70"/>
      <c r="Z22" s="70"/>
      <c r="AA22" s="71"/>
      <c r="AB22" s="71"/>
      <c r="AC22" s="72"/>
      <c r="AD22" s="72"/>
      <c r="AE22" s="72"/>
      <c r="AF22" s="72"/>
    </row>
    <row r="23" spans="1:32" ht="15">
      <c r="A23" s="85" t="s">
        <v>66</v>
      </c>
      <c r="B23" s="87" t="s">
        <v>67</v>
      </c>
      <c r="C23" s="80">
        <v>179.4</v>
      </c>
      <c r="D23" s="81">
        <v>90203</v>
      </c>
      <c r="E23" s="81">
        <f aca="true" t="shared" si="25" ref="E23:E38">(D23+G23+H23)*0.02</f>
        <v>2108.224516</v>
      </c>
      <c r="F23" s="81">
        <f aca="true" t="shared" si="26" ref="F23:F38">E23*AB23</f>
        <v>378215.4781704001</v>
      </c>
      <c r="G23" s="81">
        <f t="shared" si="0"/>
        <v>6900.5295</v>
      </c>
      <c r="H23" s="81">
        <f t="shared" si="9"/>
        <v>8307.6963</v>
      </c>
      <c r="I23" s="81">
        <f t="shared" si="10"/>
        <v>16908</v>
      </c>
      <c r="J23" s="81">
        <f t="shared" si="11"/>
        <v>479.136</v>
      </c>
      <c r="K23" s="81">
        <f>SUM(D23,G23:J23)</f>
        <v>122798.3618</v>
      </c>
      <c r="L23" s="81">
        <f>K23+E23</f>
        <v>124906.586316</v>
      </c>
      <c r="M23" s="82">
        <f aca="true" t="shared" si="27" ref="M23:M28">+C23*K23</f>
        <v>22030026.10692</v>
      </c>
      <c r="N23" s="83">
        <f aca="true" t="shared" si="28" ref="N23:N38">M23/C23</f>
        <v>122798.3618</v>
      </c>
      <c r="O23" s="70">
        <f aca="true" t="shared" si="29" ref="O23:O28">D23</f>
        <v>90203</v>
      </c>
      <c r="P23" s="70">
        <f aca="true" t="shared" si="30" ref="P23:P28">(D23+E23+R23+S23)*0.0225+E23</f>
        <v>4547.70782311</v>
      </c>
      <c r="Q23" s="70">
        <f aca="true" t="shared" si="31" ref="Q23:Q28">P23*C23</f>
        <v>815858.7834659341</v>
      </c>
      <c r="R23" s="81">
        <f aca="true" t="shared" si="32" ref="R23:R28">+O23*0.0765</f>
        <v>6900.5295</v>
      </c>
      <c r="S23" s="81">
        <f aca="true" t="shared" si="33" ref="S23:S28">+O23*0.1021</f>
        <v>9209.7263</v>
      </c>
      <c r="T23" s="81">
        <f aca="true" t="shared" si="34" ref="T23:T28">1465*12</f>
        <v>17580</v>
      </c>
      <c r="U23" s="81">
        <f t="shared" si="20"/>
        <v>479.136</v>
      </c>
      <c r="V23" s="70">
        <f aca="true" t="shared" si="35" ref="V23:V38">SUM(O23,R23:U23)</f>
        <v>124372.3918</v>
      </c>
      <c r="W23" s="70">
        <f aca="true" t="shared" si="36" ref="W23:W38">V23+P23</f>
        <v>128920.09962311</v>
      </c>
      <c r="X23" s="70">
        <f aca="true" t="shared" si="37" ref="X23:X28">+C23*V23</f>
        <v>22312407.08892</v>
      </c>
      <c r="Y23" s="70">
        <f aca="true" t="shared" si="38" ref="Y23:Y28">X23/C23</f>
        <v>124372.3918</v>
      </c>
      <c r="Z23" s="70">
        <f aca="true" t="shared" si="39" ref="Z23:Z28">+M23+X23</f>
        <v>44342433.19584</v>
      </c>
      <c r="AA23" s="71">
        <f aca="true" t="shared" si="40" ref="AA23:AA28">+Z23/C23</f>
        <v>247170.7536</v>
      </c>
      <c r="AB23" s="72">
        <f aca="true" t="shared" si="41" ref="AB23:AB28">C23</f>
        <v>179.4</v>
      </c>
      <c r="AC23" s="86">
        <v>1</v>
      </c>
      <c r="AD23" s="86">
        <v>4</v>
      </c>
      <c r="AE23" s="86">
        <v>7</v>
      </c>
      <c r="AF23" s="71">
        <f>AC23*(E23+P23)+AD23*E23+AE23*(E23+P23/2)</f>
        <v>45763.379395995005</v>
      </c>
    </row>
    <row r="24" spans="1:32" ht="15">
      <c r="A24" s="85" t="s">
        <v>66</v>
      </c>
      <c r="B24" s="87" t="s">
        <v>68</v>
      </c>
      <c r="C24" s="80">
        <v>22</v>
      </c>
      <c r="D24" s="81">
        <v>118334</v>
      </c>
      <c r="E24" s="81">
        <f t="shared" si="25"/>
        <v>2765.7022480000005</v>
      </c>
      <c r="F24" s="81">
        <f t="shared" si="26"/>
        <v>60845.44945600001</v>
      </c>
      <c r="G24" s="81">
        <f t="shared" si="0"/>
        <v>9052.551</v>
      </c>
      <c r="H24" s="81">
        <f t="shared" si="9"/>
        <v>10898.5614</v>
      </c>
      <c r="I24" s="81">
        <f t="shared" si="10"/>
        <v>16908</v>
      </c>
      <c r="J24" s="81">
        <f t="shared" si="11"/>
        <v>479.136</v>
      </c>
      <c r="K24" s="81">
        <f aca="true" t="shared" si="42" ref="K24:K38">SUM(D24,G24:J24)</f>
        <v>155672.2484</v>
      </c>
      <c r="L24" s="81">
        <f aca="true" t="shared" si="43" ref="L24:L38">K24+E24</f>
        <v>158437.950648</v>
      </c>
      <c r="M24" s="82">
        <f t="shared" si="27"/>
        <v>3424789.4648</v>
      </c>
      <c r="N24" s="83">
        <f t="shared" si="28"/>
        <v>155672.2484</v>
      </c>
      <c r="O24" s="70">
        <f t="shared" si="29"/>
        <v>118334</v>
      </c>
      <c r="P24" s="70">
        <f t="shared" si="30"/>
        <v>5965.97072758</v>
      </c>
      <c r="Q24" s="70">
        <f t="shared" si="31"/>
        <v>131251.35600676</v>
      </c>
      <c r="R24" s="81">
        <f t="shared" si="32"/>
        <v>9052.551</v>
      </c>
      <c r="S24" s="81">
        <f t="shared" si="33"/>
        <v>12081.901399999999</v>
      </c>
      <c r="T24" s="81">
        <f t="shared" si="34"/>
        <v>17580</v>
      </c>
      <c r="U24" s="81">
        <f t="shared" si="20"/>
        <v>479.136</v>
      </c>
      <c r="V24" s="70">
        <f t="shared" si="35"/>
        <v>157527.5884</v>
      </c>
      <c r="W24" s="70">
        <f t="shared" si="36"/>
        <v>163493.55912758</v>
      </c>
      <c r="X24" s="70">
        <f t="shared" si="37"/>
        <v>3465606.9448</v>
      </c>
      <c r="Y24" s="70">
        <f t="shared" si="38"/>
        <v>157527.5884</v>
      </c>
      <c r="Z24" s="70">
        <f t="shared" si="39"/>
        <v>6890396.409600001</v>
      </c>
      <c r="AA24" s="71">
        <f t="shared" si="40"/>
        <v>313199.83680000005</v>
      </c>
      <c r="AB24" s="72">
        <f t="shared" si="41"/>
        <v>22</v>
      </c>
      <c r="AC24" s="86">
        <v>2</v>
      </c>
      <c r="AD24" s="88"/>
      <c r="AE24" s="86">
        <v>1</v>
      </c>
      <c r="AF24" s="71">
        <f>AC24*(E24+P24)+AD24*E24+AE24*(E24+P24/2)</f>
        <v>23212.033562950004</v>
      </c>
    </row>
    <row r="25" spans="1:32" ht="15">
      <c r="A25" s="85" t="s">
        <v>66</v>
      </c>
      <c r="B25" s="87" t="s">
        <v>69</v>
      </c>
      <c r="C25" s="80">
        <v>35</v>
      </c>
      <c r="D25" s="81">
        <v>64000</v>
      </c>
      <c r="E25" s="81">
        <f t="shared" si="25"/>
        <v>1495.808</v>
      </c>
      <c r="F25" s="81">
        <f t="shared" si="26"/>
        <v>52353.28</v>
      </c>
      <c r="G25" s="81">
        <f t="shared" si="0"/>
        <v>4896</v>
      </c>
      <c r="H25" s="81">
        <f t="shared" si="9"/>
        <v>5894.4</v>
      </c>
      <c r="I25" s="81">
        <f t="shared" si="10"/>
        <v>16908</v>
      </c>
      <c r="J25" s="81">
        <f t="shared" si="11"/>
        <v>479.136</v>
      </c>
      <c r="K25" s="81">
        <f t="shared" si="42"/>
        <v>92177.536</v>
      </c>
      <c r="L25" s="81">
        <f t="shared" si="43"/>
        <v>93673.344</v>
      </c>
      <c r="M25" s="82">
        <f t="shared" si="27"/>
        <v>3226213.76</v>
      </c>
      <c r="N25" s="83">
        <f t="shared" si="28"/>
        <v>92177.536</v>
      </c>
      <c r="O25" s="70">
        <f t="shared" si="29"/>
        <v>64000</v>
      </c>
      <c r="P25" s="70">
        <f t="shared" si="30"/>
        <v>3226.6476799999996</v>
      </c>
      <c r="Q25" s="70">
        <f t="shared" si="31"/>
        <v>112932.66879999998</v>
      </c>
      <c r="R25" s="81">
        <f t="shared" si="32"/>
        <v>4896</v>
      </c>
      <c r="S25" s="81">
        <f t="shared" si="33"/>
        <v>6534.4</v>
      </c>
      <c r="T25" s="81">
        <f t="shared" si="34"/>
        <v>17580</v>
      </c>
      <c r="U25" s="81">
        <f t="shared" si="20"/>
        <v>479.136</v>
      </c>
      <c r="V25" s="70">
        <f t="shared" si="35"/>
        <v>93489.536</v>
      </c>
      <c r="W25" s="70">
        <f t="shared" si="36"/>
        <v>96716.18367999999</v>
      </c>
      <c r="X25" s="70">
        <f t="shared" si="37"/>
        <v>3272133.76</v>
      </c>
      <c r="Y25" s="70">
        <f t="shared" si="38"/>
        <v>93489.536</v>
      </c>
      <c r="Z25" s="70">
        <f t="shared" si="39"/>
        <v>6498347.52</v>
      </c>
      <c r="AA25" s="71">
        <f t="shared" si="40"/>
        <v>185667.072</v>
      </c>
      <c r="AB25" s="72">
        <f t="shared" si="41"/>
        <v>35</v>
      </c>
      <c r="AC25" s="86">
        <v>0.5</v>
      </c>
      <c r="AD25" s="86">
        <v>2</v>
      </c>
      <c r="AE25" s="86">
        <v>3</v>
      </c>
      <c r="AF25" s="71">
        <f>AC25*(E25+P25)+AD25*E25+AE25*(E25+P25/2)</f>
        <v>14680.23936</v>
      </c>
    </row>
    <row r="26" spans="1:32" ht="15">
      <c r="A26" s="85" t="s">
        <v>66</v>
      </c>
      <c r="B26" s="87" t="s">
        <v>70</v>
      </c>
      <c r="C26" s="80">
        <v>29</v>
      </c>
      <c r="D26" s="81">
        <v>42000</v>
      </c>
      <c r="E26" s="81">
        <f t="shared" si="25"/>
        <v>981.6239999999999</v>
      </c>
      <c r="F26" s="81">
        <f t="shared" si="26"/>
        <v>28467.095999999998</v>
      </c>
      <c r="G26" s="81">
        <f t="shared" si="0"/>
        <v>3213</v>
      </c>
      <c r="H26" s="81">
        <f t="shared" si="9"/>
        <v>3868.2000000000003</v>
      </c>
      <c r="I26" s="81">
        <f t="shared" si="10"/>
        <v>16908</v>
      </c>
      <c r="J26" s="81">
        <f t="shared" si="11"/>
        <v>479.136</v>
      </c>
      <c r="K26" s="81">
        <f t="shared" si="42"/>
        <v>66468.336</v>
      </c>
      <c r="L26" s="81">
        <f t="shared" si="43"/>
        <v>67449.95999999999</v>
      </c>
      <c r="M26" s="82">
        <f t="shared" si="27"/>
        <v>1927581.744</v>
      </c>
      <c r="N26" s="83">
        <f t="shared" si="28"/>
        <v>66468.336</v>
      </c>
      <c r="O26" s="70">
        <f t="shared" si="29"/>
        <v>42000</v>
      </c>
      <c r="P26" s="70">
        <f t="shared" si="30"/>
        <v>2117.48754</v>
      </c>
      <c r="Q26" s="70">
        <f t="shared" si="31"/>
        <v>61407.138660000004</v>
      </c>
      <c r="R26" s="81">
        <f t="shared" si="32"/>
        <v>3213</v>
      </c>
      <c r="S26" s="81">
        <f t="shared" si="33"/>
        <v>4288.2</v>
      </c>
      <c r="T26" s="81">
        <f t="shared" si="34"/>
        <v>17580</v>
      </c>
      <c r="U26" s="81">
        <f t="shared" si="20"/>
        <v>479.136</v>
      </c>
      <c r="V26" s="70">
        <f t="shared" si="35"/>
        <v>67560.336</v>
      </c>
      <c r="W26" s="70">
        <f t="shared" si="36"/>
        <v>69677.82354</v>
      </c>
      <c r="X26" s="70">
        <f t="shared" si="37"/>
        <v>1959249.744</v>
      </c>
      <c r="Y26" s="70">
        <f t="shared" si="38"/>
        <v>67560.336</v>
      </c>
      <c r="Z26" s="70">
        <f t="shared" si="39"/>
        <v>3886831.488</v>
      </c>
      <c r="AA26" s="71">
        <f t="shared" si="40"/>
        <v>134028.672</v>
      </c>
      <c r="AB26" s="72">
        <f t="shared" si="41"/>
        <v>29</v>
      </c>
      <c r="AC26" s="86">
        <v>8</v>
      </c>
      <c r="AD26" s="86">
        <v>1</v>
      </c>
      <c r="AE26" s="86">
        <v>2</v>
      </c>
      <c r="AF26" s="71">
        <f>AC26*(E26+P26)+AD26*E26+AE26*(E26+P26/2)</f>
        <v>29855.251859999997</v>
      </c>
    </row>
    <row r="27" spans="1:32" ht="15">
      <c r="A27" s="85" t="s">
        <v>66</v>
      </c>
      <c r="B27" s="87" t="s">
        <v>71</v>
      </c>
      <c r="C27" s="80">
        <v>20.6</v>
      </c>
      <c r="D27" s="81">
        <v>64000</v>
      </c>
      <c r="E27" s="81">
        <f t="shared" si="25"/>
        <v>1495.808</v>
      </c>
      <c r="F27" s="81">
        <f t="shared" si="26"/>
        <v>30813.644800000002</v>
      </c>
      <c r="G27" s="81">
        <f t="shared" si="0"/>
        <v>4896</v>
      </c>
      <c r="H27" s="81">
        <f t="shared" si="9"/>
        <v>5894.4</v>
      </c>
      <c r="I27" s="81">
        <f t="shared" si="10"/>
        <v>16908</v>
      </c>
      <c r="J27" s="81">
        <f t="shared" si="11"/>
        <v>479.136</v>
      </c>
      <c r="K27" s="81">
        <f t="shared" si="42"/>
        <v>92177.536</v>
      </c>
      <c r="L27" s="81">
        <f t="shared" si="43"/>
        <v>93673.344</v>
      </c>
      <c r="M27" s="82">
        <f t="shared" si="27"/>
        <v>1898857.2416</v>
      </c>
      <c r="N27" s="83">
        <f t="shared" si="28"/>
        <v>92177.536</v>
      </c>
      <c r="O27" s="70">
        <f t="shared" si="29"/>
        <v>64000</v>
      </c>
      <c r="P27" s="70">
        <f t="shared" si="30"/>
        <v>3226.6476799999996</v>
      </c>
      <c r="Q27" s="70">
        <f t="shared" si="31"/>
        <v>66468.942208</v>
      </c>
      <c r="R27" s="81">
        <f t="shared" si="32"/>
        <v>4896</v>
      </c>
      <c r="S27" s="81">
        <f t="shared" si="33"/>
        <v>6534.4</v>
      </c>
      <c r="T27" s="81">
        <f t="shared" si="34"/>
        <v>17580</v>
      </c>
      <c r="U27" s="81">
        <f t="shared" si="20"/>
        <v>479.136</v>
      </c>
      <c r="V27" s="70">
        <f t="shared" si="35"/>
        <v>93489.536</v>
      </c>
      <c r="W27" s="70">
        <f t="shared" si="36"/>
        <v>96716.18367999999</v>
      </c>
      <c r="X27" s="70">
        <f t="shared" si="37"/>
        <v>1925884.4416</v>
      </c>
      <c r="Y27" s="70">
        <f t="shared" si="38"/>
        <v>93489.536</v>
      </c>
      <c r="Z27" s="70">
        <f t="shared" si="39"/>
        <v>3824741.6832</v>
      </c>
      <c r="AA27" s="71">
        <f t="shared" si="40"/>
        <v>185667.072</v>
      </c>
      <c r="AB27" s="72">
        <f t="shared" si="41"/>
        <v>20.6</v>
      </c>
      <c r="AC27" s="72"/>
      <c r="AD27" s="72"/>
      <c r="AE27" s="72"/>
      <c r="AF27" s="72"/>
    </row>
    <row r="28" spans="1:32" ht="15">
      <c r="A28" s="85" t="s">
        <v>66</v>
      </c>
      <c r="B28" s="87" t="s">
        <v>72</v>
      </c>
      <c r="C28" s="80">
        <v>26</v>
      </c>
      <c r="D28" s="81">
        <v>56176.672258064515</v>
      </c>
      <c r="E28" s="81">
        <f t="shared" si="25"/>
        <v>1312.961184015484</v>
      </c>
      <c r="F28" s="81">
        <f t="shared" si="26"/>
        <v>34136.99078440258</v>
      </c>
      <c r="G28" s="81">
        <f t="shared" si="0"/>
        <v>4297.515427741935</v>
      </c>
      <c r="H28" s="81">
        <f t="shared" si="9"/>
        <v>5173.871514967742</v>
      </c>
      <c r="I28" s="81">
        <f t="shared" si="10"/>
        <v>16908</v>
      </c>
      <c r="J28" s="81">
        <f t="shared" si="11"/>
        <v>479.136</v>
      </c>
      <c r="K28" s="81">
        <f t="shared" si="42"/>
        <v>83035.1952007742</v>
      </c>
      <c r="L28" s="81">
        <f t="shared" si="43"/>
        <v>84348.15638478968</v>
      </c>
      <c r="M28" s="82">
        <f t="shared" si="27"/>
        <v>2158915.075220129</v>
      </c>
      <c r="N28" s="83">
        <f t="shared" si="28"/>
        <v>83035.1952007742</v>
      </c>
      <c r="O28" s="70">
        <f t="shared" si="29"/>
        <v>56176.672258064515</v>
      </c>
      <c r="P28" s="70">
        <f t="shared" si="30"/>
        <v>2832.2238939313156</v>
      </c>
      <c r="Q28" s="70">
        <f t="shared" si="31"/>
        <v>73637.82124221421</v>
      </c>
      <c r="R28" s="81">
        <f t="shared" si="32"/>
        <v>4297.515427741935</v>
      </c>
      <c r="S28" s="81">
        <f t="shared" si="33"/>
        <v>5735.638237548386</v>
      </c>
      <c r="T28" s="81">
        <f t="shared" si="34"/>
        <v>17580</v>
      </c>
      <c r="U28" s="81">
        <f t="shared" si="20"/>
        <v>479.136</v>
      </c>
      <c r="V28" s="70">
        <f t="shared" si="35"/>
        <v>84268.96192335483</v>
      </c>
      <c r="W28" s="70">
        <f t="shared" si="36"/>
        <v>87101.18581728614</v>
      </c>
      <c r="X28" s="70">
        <f t="shared" si="37"/>
        <v>2190993.0100072254</v>
      </c>
      <c r="Y28" s="70">
        <f t="shared" si="38"/>
        <v>84268.96192335483</v>
      </c>
      <c r="Z28" s="70">
        <f t="shared" si="39"/>
        <v>4349908.085227354</v>
      </c>
      <c r="AA28" s="71">
        <f t="shared" si="40"/>
        <v>167304.157124129</v>
      </c>
      <c r="AB28" s="72">
        <f t="shared" si="41"/>
        <v>26</v>
      </c>
      <c r="AC28" s="72"/>
      <c r="AD28" s="72"/>
      <c r="AE28" s="72"/>
      <c r="AF28" s="72"/>
    </row>
    <row r="29" spans="1:32" ht="15">
      <c r="A29" s="89" t="s">
        <v>73</v>
      </c>
      <c r="B29" s="89"/>
      <c r="C29" s="90">
        <f>SUM(C23:C28)</f>
        <v>312</v>
      </c>
      <c r="D29" s="91">
        <f aca="true" t="shared" si="44" ref="D29:Z29">SUM(D23:D28)</f>
        <v>434713.6722580645</v>
      </c>
      <c r="E29" s="91">
        <f t="shared" si="44"/>
        <v>10160.127948015484</v>
      </c>
      <c r="F29" s="91">
        <f>SUM(F23:F28)</f>
        <v>584831.9392108027</v>
      </c>
      <c r="G29" s="91">
        <f t="shared" si="44"/>
        <v>33255.59592774193</v>
      </c>
      <c r="H29" s="91">
        <f t="shared" si="44"/>
        <v>40037.12921496775</v>
      </c>
      <c r="I29" s="91">
        <f t="shared" si="44"/>
        <v>101448</v>
      </c>
      <c r="J29" s="91">
        <f t="shared" si="44"/>
        <v>2874.8160000000003</v>
      </c>
      <c r="K29" s="91">
        <f t="shared" si="44"/>
        <v>612329.2134007742</v>
      </c>
      <c r="L29" s="91"/>
      <c r="M29" s="91">
        <f t="shared" si="44"/>
        <v>34666383.39254013</v>
      </c>
      <c r="N29" s="91"/>
      <c r="O29" s="91">
        <f t="shared" si="44"/>
        <v>434713.6722580645</v>
      </c>
      <c r="P29" s="91"/>
      <c r="Q29" s="91">
        <f>SUM(Q23:Q28)</f>
        <v>1261556.7103829083</v>
      </c>
      <c r="R29" s="91">
        <f t="shared" si="44"/>
        <v>33255.59592774193</v>
      </c>
      <c r="S29" s="91">
        <f t="shared" si="44"/>
        <v>44384.265937548385</v>
      </c>
      <c r="T29" s="91">
        <f t="shared" si="44"/>
        <v>105480</v>
      </c>
      <c r="U29" s="91">
        <f t="shared" si="44"/>
        <v>2874.8160000000003</v>
      </c>
      <c r="V29" s="91">
        <f t="shared" si="44"/>
        <v>620708.3501233547</v>
      </c>
      <c r="W29" s="91"/>
      <c r="X29" s="91">
        <f t="shared" si="44"/>
        <v>35126274.98932722</v>
      </c>
      <c r="Y29" s="91"/>
      <c r="Z29" s="91">
        <f t="shared" si="44"/>
        <v>69792658.38186735</v>
      </c>
      <c r="AA29" s="71"/>
      <c r="AB29" s="71"/>
      <c r="AC29" s="72"/>
      <c r="AD29" s="72"/>
      <c r="AE29" s="72"/>
      <c r="AF29" s="72"/>
    </row>
    <row r="30" spans="1:32" ht="15">
      <c r="A30" s="85" t="s">
        <v>74</v>
      </c>
      <c r="B30" s="87" t="s">
        <v>75</v>
      </c>
      <c r="C30" s="80">
        <v>1</v>
      </c>
      <c r="D30" s="81">
        <v>149384</v>
      </c>
      <c r="E30" s="81">
        <f t="shared" si="25"/>
        <v>3491.4028479999997</v>
      </c>
      <c r="F30" s="81">
        <f t="shared" si="26"/>
        <v>3491.4028479999997</v>
      </c>
      <c r="G30" s="81">
        <f aca="true" t="shared" si="45" ref="G30:G38">+D30*0.0765</f>
        <v>11427.876</v>
      </c>
      <c r="H30" s="81">
        <f aca="true" t="shared" si="46" ref="H30:H38">+D30*0.0921</f>
        <v>13758.2664</v>
      </c>
      <c r="I30" s="81">
        <f t="shared" si="10"/>
        <v>16908</v>
      </c>
      <c r="J30" s="81">
        <f t="shared" si="11"/>
        <v>479.136</v>
      </c>
      <c r="K30" s="81">
        <f t="shared" si="42"/>
        <v>191957.27839999998</v>
      </c>
      <c r="L30" s="81">
        <f t="shared" si="43"/>
        <v>195448.68124799998</v>
      </c>
      <c r="M30" s="82">
        <f aca="true" t="shared" si="47" ref="M30:M38">+C30*K30</f>
        <v>191957.27839999998</v>
      </c>
      <c r="N30" s="83">
        <f t="shared" si="28"/>
        <v>191957.27839999998</v>
      </c>
      <c r="O30" s="70">
        <f>D30</f>
        <v>149384</v>
      </c>
      <c r="P30" s="70">
        <f aca="true" t="shared" si="48" ref="P30:P38">(D30+E30+R30+S30)*0.0225+E30</f>
        <v>7531.399016079999</v>
      </c>
      <c r="Q30" s="70">
        <f aca="true" t="shared" si="49" ref="Q30:Q38">P30*C30</f>
        <v>7531.399016079999</v>
      </c>
      <c r="R30" s="81">
        <f aca="true" t="shared" si="50" ref="R30:R38">+O30*0.0765</f>
        <v>11427.876</v>
      </c>
      <c r="S30" s="81">
        <f aca="true" t="shared" si="51" ref="S30:S38">+O30*0.1021</f>
        <v>15252.106399999999</v>
      </c>
      <c r="T30" s="81">
        <f aca="true" t="shared" si="52" ref="T30:T38">1465*12</f>
        <v>17580</v>
      </c>
      <c r="U30" s="81">
        <f t="shared" si="20"/>
        <v>479.136</v>
      </c>
      <c r="V30" s="70">
        <f t="shared" si="35"/>
        <v>194123.11839999998</v>
      </c>
      <c r="W30" s="70">
        <f t="shared" si="36"/>
        <v>201654.51741607997</v>
      </c>
      <c r="X30" s="70">
        <f aca="true" t="shared" si="53" ref="X30:X38">+C30*V30</f>
        <v>194123.11839999998</v>
      </c>
      <c r="Y30" s="70">
        <f aca="true" t="shared" si="54" ref="Y30:Y38">X30/C30</f>
        <v>194123.11839999998</v>
      </c>
      <c r="Z30" s="70">
        <f aca="true" t="shared" si="55" ref="Z30:Z38">+M30+X30</f>
        <v>386080.3968</v>
      </c>
      <c r="AA30" s="71">
        <f>+Z30/C30</f>
        <v>386080.3968</v>
      </c>
      <c r="AB30" s="72">
        <f>C30</f>
        <v>1</v>
      </c>
      <c r="AC30" s="72"/>
      <c r="AD30" s="72"/>
      <c r="AE30" s="72"/>
      <c r="AF30" s="72"/>
    </row>
    <row r="31" spans="1:32" ht="15">
      <c r="A31" s="85" t="s">
        <v>74</v>
      </c>
      <c r="B31" s="87" t="s">
        <v>76</v>
      </c>
      <c r="C31" s="80">
        <v>1</v>
      </c>
      <c r="D31" s="81">
        <v>185907</v>
      </c>
      <c r="E31" s="81">
        <f t="shared" si="25"/>
        <v>4345.018404</v>
      </c>
      <c r="F31" s="81">
        <f t="shared" si="26"/>
        <v>4345.018404</v>
      </c>
      <c r="G31" s="81">
        <f t="shared" si="45"/>
        <v>14221.8855</v>
      </c>
      <c r="H31" s="81">
        <f t="shared" si="46"/>
        <v>17122.0347</v>
      </c>
      <c r="I31" s="81">
        <f t="shared" si="10"/>
        <v>16908</v>
      </c>
      <c r="J31" s="81">
        <f t="shared" si="11"/>
        <v>479.136</v>
      </c>
      <c r="K31" s="81">
        <f t="shared" si="42"/>
        <v>234638.0562</v>
      </c>
      <c r="L31" s="81">
        <f t="shared" si="43"/>
        <v>238983.074604</v>
      </c>
      <c r="M31" s="82">
        <f t="shared" si="47"/>
        <v>234638.0562</v>
      </c>
      <c r="N31" s="83">
        <f t="shared" si="28"/>
        <v>234638.0562</v>
      </c>
      <c r="O31" s="70">
        <f aca="true" t="shared" si="56" ref="O31:O38">D31</f>
        <v>185907</v>
      </c>
      <c r="P31" s="70">
        <f t="shared" si="48"/>
        <v>9372.756097590001</v>
      </c>
      <c r="Q31" s="70">
        <f t="shared" si="49"/>
        <v>9372.756097590001</v>
      </c>
      <c r="R31" s="81">
        <f t="shared" si="50"/>
        <v>14221.8855</v>
      </c>
      <c r="S31" s="81">
        <f t="shared" si="51"/>
        <v>18981.1047</v>
      </c>
      <c r="T31" s="81">
        <f t="shared" si="52"/>
        <v>17580</v>
      </c>
      <c r="U31" s="81">
        <f t="shared" si="20"/>
        <v>479.136</v>
      </c>
      <c r="V31" s="70">
        <f t="shared" si="35"/>
        <v>237169.1262</v>
      </c>
      <c r="W31" s="70">
        <f t="shared" si="36"/>
        <v>246541.88229759</v>
      </c>
      <c r="X31" s="70">
        <f t="shared" si="53"/>
        <v>237169.1262</v>
      </c>
      <c r="Y31" s="70">
        <f t="shared" si="54"/>
        <v>237169.1262</v>
      </c>
      <c r="Z31" s="70">
        <f t="shared" si="55"/>
        <v>471807.1824</v>
      </c>
      <c r="AA31" s="71">
        <f>+Z31/C31</f>
        <v>471807.1824</v>
      </c>
      <c r="AB31" s="72">
        <f>C31</f>
        <v>1</v>
      </c>
      <c r="AC31" s="72"/>
      <c r="AD31" s="72"/>
      <c r="AE31" s="72"/>
      <c r="AF31" s="72"/>
    </row>
    <row r="32" spans="1:32" ht="15">
      <c r="A32" s="85" t="s">
        <v>74</v>
      </c>
      <c r="B32" s="87" t="s">
        <v>77</v>
      </c>
      <c r="C32" s="80">
        <v>3</v>
      </c>
      <c r="D32" s="81">
        <v>152831.952</v>
      </c>
      <c r="E32" s="81">
        <f t="shared" si="25"/>
        <v>3571.988382144</v>
      </c>
      <c r="F32" s="81">
        <f t="shared" si="26"/>
        <v>10715.965146432</v>
      </c>
      <c r="G32" s="81">
        <f t="shared" si="45"/>
        <v>11691.644327999998</v>
      </c>
      <c r="H32" s="81">
        <f t="shared" si="46"/>
        <v>14075.8227792</v>
      </c>
      <c r="I32" s="81">
        <f t="shared" si="10"/>
        <v>16908</v>
      </c>
      <c r="J32" s="81">
        <f t="shared" si="11"/>
        <v>479.136</v>
      </c>
      <c r="K32" s="81">
        <f t="shared" si="42"/>
        <v>195986.5551072</v>
      </c>
      <c r="L32" s="81">
        <f t="shared" si="43"/>
        <v>199558.54348934398</v>
      </c>
      <c r="M32" s="82">
        <f t="shared" si="47"/>
        <v>587959.6653215999</v>
      </c>
      <c r="N32" s="83">
        <f t="shared" si="28"/>
        <v>195986.55510719997</v>
      </c>
      <c r="O32" s="70">
        <f t="shared" si="56"/>
        <v>152831.952</v>
      </c>
      <c r="P32" s="70">
        <f t="shared" si="48"/>
        <v>7705.232239854239</v>
      </c>
      <c r="Q32" s="70">
        <f t="shared" si="49"/>
        <v>23115.69671956272</v>
      </c>
      <c r="R32" s="81">
        <f t="shared" si="50"/>
        <v>11691.644327999998</v>
      </c>
      <c r="S32" s="81">
        <f t="shared" si="51"/>
        <v>15604.142299199999</v>
      </c>
      <c r="T32" s="81">
        <f t="shared" si="52"/>
        <v>17580</v>
      </c>
      <c r="U32" s="81">
        <f t="shared" si="20"/>
        <v>479.136</v>
      </c>
      <c r="V32" s="70">
        <f t="shared" si="35"/>
        <v>198186.87462719998</v>
      </c>
      <c r="W32" s="70">
        <f t="shared" si="36"/>
        <v>205892.10686705422</v>
      </c>
      <c r="X32" s="70">
        <f t="shared" si="53"/>
        <v>594560.6238816</v>
      </c>
      <c r="Y32" s="70">
        <f t="shared" si="54"/>
        <v>198186.87462719998</v>
      </c>
      <c r="Z32" s="70">
        <f t="shared" si="55"/>
        <v>1182520.2892032</v>
      </c>
      <c r="AA32" s="71">
        <f>+Z32/C32</f>
        <v>394173.4297344</v>
      </c>
      <c r="AB32" s="72">
        <f>C32</f>
        <v>3</v>
      </c>
      <c r="AC32" s="84">
        <v>-3</v>
      </c>
      <c r="AD32" s="72"/>
      <c r="AE32" s="72"/>
      <c r="AF32" s="71">
        <f>AC32*(E32+P32)</f>
        <v>-33831.66186599472</v>
      </c>
    </row>
    <row r="33" spans="1:32" ht="15">
      <c r="A33" s="85" t="s">
        <v>74</v>
      </c>
      <c r="B33" s="87" t="s">
        <v>78</v>
      </c>
      <c r="C33" s="80">
        <v>7</v>
      </c>
      <c r="D33" s="83">
        <v>142000</v>
      </c>
      <c r="E33" s="81">
        <f t="shared" si="25"/>
        <v>3318.8240000000005</v>
      </c>
      <c r="F33" s="81">
        <f t="shared" si="26"/>
        <v>0</v>
      </c>
      <c r="G33" s="81">
        <f t="shared" si="45"/>
        <v>10863</v>
      </c>
      <c r="H33" s="81">
        <f t="shared" si="46"/>
        <v>13078.2</v>
      </c>
      <c r="I33" s="81">
        <f t="shared" si="10"/>
        <v>16908</v>
      </c>
      <c r="J33" s="81">
        <f t="shared" si="11"/>
        <v>479.136</v>
      </c>
      <c r="K33" s="81">
        <f t="shared" si="42"/>
        <v>183328.336</v>
      </c>
      <c r="L33" s="81">
        <f t="shared" si="43"/>
        <v>186647.16</v>
      </c>
      <c r="M33" s="82">
        <f t="shared" si="47"/>
        <v>1283298.352</v>
      </c>
      <c r="N33" s="83">
        <f t="shared" si="28"/>
        <v>183328.33599999998</v>
      </c>
      <c r="O33" s="70">
        <f t="shared" si="56"/>
        <v>142000</v>
      </c>
      <c r="P33" s="70">
        <f t="shared" si="48"/>
        <v>7159.124540000001</v>
      </c>
      <c r="Q33" s="70">
        <f t="shared" si="49"/>
        <v>50113.87178</v>
      </c>
      <c r="R33" s="81">
        <f t="shared" si="50"/>
        <v>10863</v>
      </c>
      <c r="S33" s="81">
        <f t="shared" si="51"/>
        <v>14498.199999999999</v>
      </c>
      <c r="T33" s="81">
        <f t="shared" si="52"/>
        <v>17580</v>
      </c>
      <c r="U33" s="81">
        <f t="shared" si="20"/>
        <v>479.136</v>
      </c>
      <c r="V33" s="70">
        <f t="shared" si="35"/>
        <v>185420.336</v>
      </c>
      <c r="W33" s="70">
        <f t="shared" si="36"/>
        <v>192579.46054</v>
      </c>
      <c r="X33" s="70">
        <f t="shared" si="53"/>
        <v>1297942.352</v>
      </c>
      <c r="Y33" s="70">
        <f t="shared" si="54"/>
        <v>185420.33599999998</v>
      </c>
      <c r="Z33" s="70">
        <f t="shared" si="55"/>
        <v>2581240.704</v>
      </c>
      <c r="AA33" s="71">
        <f>+K33+V33</f>
        <v>368748.672</v>
      </c>
      <c r="AB33" s="71">
        <v>0</v>
      </c>
      <c r="AC33" s="84">
        <v>7</v>
      </c>
      <c r="AD33" s="72"/>
      <c r="AE33" s="72"/>
      <c r="AF33" s="71">
        <f>AC33*(E33+P33)</f>
        <v>73345.63978000001</v>
      </c>
    </row>
    <row r="34" spans="1:32" ht="15">
      <c r="A34" s="85" t="s">
        <v>74</v>
      </c>
      <c r="B34" s="87" t="s">
        <v>79</v>
      </c>
      <c r="C34" s="80">
        <v>4</v>
      </c>
      <c r="D34" s="83">
        <v>129000</v>
      </c>
      <c r="E34" s="81">
        <f t="shared" si="25"/>
        <v>3014.988</v>
      </c>
      <c r="F34" s="81">
        <f t="shared" si="26"/>
        <v>0</v>
      </c>
      <c r="G34" s="81">
        <f t="shared" si="45"/>
        <v>9868.5</v>
      </c>
      <c r="H34" s="81">
        <f t="shared" si="46"/>
        <v>11880.9</v>
      </c>
      <c r="I34" s="81">
        <f t="shared" si="10"/>
        <v>16908</v>
      </c>
      <c r="J34" s="81">
        <f t="shared" si="11"/>
        <v>479.136</v>
      </c>
      <c r="K34" s="81">
        <f t="shared" si="42"/>
        <v>168136.536</v>
      </c>
      <c r="L34" s="81">
        <f t="shared" si="43"/>
        <v>171151.524</v>
      </c>
      <c r="M34" s="82">
        <f t="shared" si="47"/>
        <v>672546.144</v>
      </c>
      <c r="N34" s="83">
        <f t="shared" si="28"/>
        <v>168136.536</v>
      </c>
      <c r="O34" s="70">
        <f t="shared" si="56"/>
        <v>129000</v>
      </c>
      <c r="P34" s="70">
        <f t="shared" si="48"/>
        <v>6503.71173</v>
      </c>
      <c r="Q34" s="70">
        <f t="shared" si="49"/>
        <v>26014.84692</v>
      </c>
      <c r="R34" s="81">
        <f t="shared" si="50"/>
        <v>9868.5</v>
      </c>
      <c r="S34" s="81">
        <f t="shared" si="51"/>
        <v>13170.9</v>
      </c>
      <c r="T34" s="81">
        <f t="shared" si="52"/>
        <v>17580</v>
      </c>
      <c r="U34" s="81">
        <f t="shared" si="20"/>
        <v>479.136</v>
      </c>
      <c r="V34" s="70">
        <f t="shared" si="35"/>
        <v>170098.536</v>
      </c>
      <c r="W34" s="70">
        <f t="shared" si="36"/>
        <v>176602.24773</v>
      </c>
      <c r="X34" s="70">
        <f t="shared" si="53"/>
        <v>680394.144</v>
      </c>
      <c r="Y34" s="70">
        <f t="shared" si="54"/>
        <v>170098.536</v>
      </c>
      <c r="Z34" s="70">
        <f t="shared" si="55"/>
        <v>1352940.288</v>
      </c>
      <c r="AA34" s="71">
        <f>+K34+V34</f>
        <v>338235.072</v>
      </c>
      <c r="AB34" s="71">
        <v>0</v>
      </c>
      <c r="AC34" s="84">
        <v>4</v>
      </c>
      <c r="AD34" s="72"/>
      <c r="AE34" s="72"/>
      <c r="AF34" s="71">
        <f>AC34*(E34+P34)</f>
        <v>38074.79892</v>
      </c>
    </row>
    <row r="35" spans="1:32" ht="15">
      <c r="A35" s="85" t="s">
        <v>74</v>
      </c>
      <c r="B35" s="87" t="s">
        <v>80</v>
      </c>
      <c r="C35" s="80">
        <v>1</v>
      </c>
      <c r="D35" s="81">
        <v>110180.928</v>
      </c>
      <c r="E35" s="81">
        <f t="shared" si="25"/>
        <v>2575.148649216</v>
      </c>
      <c r="F35" s="81">
        <f t="shared" si="26"/>
        <v>2575.148649216</v>
      </c>
      <c r="G35" s="81">
        <f t="shared" si="45"/>
        <v>8428.840992</v>
      </c>
      <c r="H35" s="81">
        <f t="shared" si="46"/>
        <v>10147.6634688</v>
      </c>
      <c r="I35" s="81">
        <f t="shared" si="10"/>
        <v>16908</v>
      </c>
      <c r="J35" s="81">
        <f t="shared" si="11"/>
        <v>479.136</v>
      </c>
      <c r="K35" s="81">
        <f t="shared" si="42"/>
        <v>146144.5684608</v>
      </c>
      <c r="L35" s="81">
        <f t="shared" si="43"/>
        <v>148719.71711001598</v>
      </c>
      <c r="M35" s="82">
        <f t="shared" si="47"/>
        <v>146144.5684608</v>
      </c>
      <c r="N35" s="83">
        <f t="shared" si="28"/>
        <v>146144.5684608</v>
      </c>
      <c r="O35" s="70">
        <f t="shared" si="56"/>
        <v>110180.928</v>
      </c>
      <c r="P35" s="70">
        <f t="shared" si="48"/>
        <v>5554.9224329913595</v>
      </c>
      <c r="Q35" s="70">
        <f t="shared" si="49"/>
        <v>5554.9224329913595</v>
      </c>
      <c r="R35" s="81">
        <f t="shared" si="50"/>
        <v>8428.840992</v>
      </c>
      <c r="S35" s="81">
        <f t="shared" si="51"/>
        <v>11249.472748799999</v>
      </c>
      <c r="T35" s="81">
        <f t="shared" si="52"/>
        <v>17580</v>
      </c>
      <c r="U35" s="81">
        <f t="shared" si="20"/>
        <v>479.136</v>
      </c>
      <c r="V35" s="70">
        <f t="shared" si="35"/>
        <v>147918.3777408</v>
      </c>
      <c r="W35" s="70">
        <f t="shared" si="36"/>
        <v>153473.30017379136</v>
      </c>
      <c r="X35" s="70">
        <f t="shared" si="53"/>
        <v>147918.3777408</v>
      </c>
      <c r="Y35" s="70">
        <f t="shared" si="54"/>
        <v>147918.3777408</v>
      </c>
      <c r="Z35" s="70">
        <f t="shared" si="55"/>
        <v>294062.9462016</v>
      </c>
      <c r="AA35" s="71">
        <f>+Z35/C35</f>
        <v>294062.9462016</v>
      </c>
      <c r="AB35" s="72">
        <f>C35</f>
        <v>1</v>
      </c>
      <c r="AC35" s="72"/>
      <c r="AD35" s="72"/>
      <c r="AE35" s="72"/>
      <c r="AF35" s="72"/>
    </row>
    <row r="36" spans="1:32" ht="15">
      <c r="A36" s="85" t="s">
        <v>74</v>
      </c>
      <c r="B36" s="87" t="s">
        <v>81</v>
      </c>
      <c r="C36" s="80">
        <v>1</v>
      </c>
      <c r="D36" s="81">
        <v>100208.992</v>
      </c>
      <c r="E36" s="81">
        <f t="shared" si="25"/>
        <v>2342.084561024</v>
      </c>
      <c r="F36" s="81">
        <f>E36*AB36</f>
        <v>2342.084561024</v>
      </c>
      <c r="G36" s="81">
        <f t="shared" si="45"/>
        <v>7665.987888</v>
      </c>
      <c r="H36" s="81">
        <f t="shared" si="46"/>
        <v>9229.2481632</v>
      </c>
      <c r="I36" s="81">
        <f t="shared" si="10"/>
        <v>16908</v>
      </c>
      <c r="J36" s="81">
        <f t="shared" si="11"/>
        <v>479.136</v>
      </c>
      <c r="K36" s="81">
        <f t="shared" si="42"/>
        <v>134491.36405119998</v>
      </c>
      <c r="L36" s="81">
        <f t="shared" si="43"/>
        <v>136833.448612224</v>
      </c>
      <c r="M36" s="82">
        <f t="shared" si="47"/>
        <v>134491.36405119998</v>
      </c>
      <c r="N36" s="83">
        <f t="shared" si="28"/>
        <v>134491.36405119998</v>
      </c>
      <c r="O36" s="70">
        <f t="shared" si="56"/>
        <v>100208.992</v>
      </c>
      <c r="P36" s="70">
        <f t="shared" si="48"/>
        <v>5052.17361799904</v>
      </c>
      <c r="Q36" s="70">
        <f t="shared" si="49"/>
        <v>5052.17361799904</v>
      </c>
      <c r="R36" s="81">
        <f t="shared" si="50"/>
        <v>7665.987888</v>
      </c>
      <c r="S36" s="81">
        <f t="shared" si="51"/>
        <v>10231.3380832</v>
      </c>
      <c r="T36" s="81">
        <f t="shared" si="52"/>
        <v>17580</v>
      </c>
      <c r="U36" s="81">
        <f t="shared" si="20"/>
        <v>479.136</v>
      </c>
      <c r="V36" s="70">
        <f t="shared" si="35"/>
        <v>136165.45397119998</v>
      </c>
      <c r="W36" s="70">
        <f t="shared" si="36"/>
        <v>141217.62758919902</v>
      </c>
      <c r="X36" s="70">
        <f t="shared" si="53"/>
        <v>136165.45397119998</v>
      </c>
      <c r="Y36" s="70">
        <f t="shared" si="54"/>
        <v>136165.45397119998</v>
      </c>
      <c r="Z36" s="70">
        <f t="shared" si="55"/>
        <v>270656.81802239997</v>
      </c>
      <c r="AA36" s="71">
        <f>+Z36/C36</f>
        <v>270656.81802239997</v>
      </c>
      <c r="AB36" s="72">
        <f>C36</f>
        <v>1</v>
      </c>
      <c r="AC36" s="72"/>
      <c r="AD36" s="72"/>
      <c r="AE36" s="72"/>
      <c r="AF36" s="72"/>
    </row>
    <row r="37" spans="1:32" ht="15">
      <c r="A37" s="85" t="s">
        <v>74</v>
      </c>
      <c r="B37" s="85" t="s">
        <v>82</v>
      </c>
      <c r="C37" s="80">
        <v>1</v>
      </c>
      <c r="D37" s="83">
        <f>83483.92+2077.03</f>
        <v>85560.95</v>
      </c>
      <c r="E37" s="81">
        <f t="shared" si="25"/>
        <v>1999.7305234</v>
      </c>
      <c r="F37" s="81">
        <f t="shared" si="26"/>
        <v>1999.7305234</v>
      </c>
      <c r="G37" s="81">
        <f t="shared" si="45"/>
        <v>6545.412675</v>
      </c>
      <c r="H37" s="81">
        <f t="shared" si="46"/>
        <v>7880.163495</v>
      </c>
      <c r="I37" s="81">
        <f t="shared" si="10"/>
        <v>16908</v>
      </c>
      <c r="J37" s="81">
        <f t="shared" si="11"/>
        <v>479.136</v>
      </c>
      <c r="K37" s="81">
        <f t="shared" si="42"/>
        <v>117373.66217</v>
      </c>
      <c r="L37" s="81">
        <f t="shared" si="43"/>
        <v>119373.39269339999</v>
      </c>
      <c r="M37" s="82">
        <f t="shared" si="47"/>
        <v>117373.66217</v>
      </c>
      <c r="N37" s="83">
        <f t="shared" si="28"/>
        <v>117373.66217</v>
      </c>
      <c r="O37" s="70">
        <f t="shared" si="56"/>
        <v>85560.95</v>
      </c>
      <c r="P37" s="70">
        <f t="shared" si="48"/>
        <v>4313.6725127515</v>
      </c>
      <c r="Q37" s="70">
        <f t="shared" si="49"/>
        <v>4313.6725127515</v>
      </c>
      <c r="R37" s="81">
        <f t="shared" si="50"/>
        <v>6545.412675</v>
      </c>
      <c r="S37" s="81">
        <f t="shared" si="51"/>
        <v>8735.772995</v>
      </c>
      <c r="T37" s="81">
        <f t="shared" si="52"/>
        <v>17580</v>
      </c>
      <c r="U37" s="81">
        <f t="shared" si="20"/>
        <v>479.136</v>
      </c>
      <c r="V37" s="70">
        <f t="shared" si="35"/>
        <v>118901.27166999999</v>
      </c>
      <c r="W37" s="70">
        <f t="shared" si="36"/>
        <v>123214.94418275148</v>
      </c>
      <c r="X37" s="70">
        <f t="shared" si="53"/>
        <v>118901.27166999999</v>
      </c>
      <c r="Y37" s="70">
        <f t="shared" si="54"/>
        <v>118901.27166999999</v>
      </c>
      <c r="Z37" s="70">
        <f t="shared" si="55"/>
        <v>236274.93383999998</v>
      </c>
      <c r="AA37" s="71">
        <f>+Z37/C37</f>
        <v>236274.93383999998</v>
      </c>
      <c r="AB37" s="72">
        <f>C37</f>
        <v>1</v>
      </c>
      <c r="AC37" s="72"/>
      <c r="AD37" s="72"/>
      <c r="AE37" s="72"/>
      <c r="AF37" s="72"/>
    </row>
    <row r="38" spans="1:32" ht="15">
      <c r="A38" s="85" t="s">
        <v>74</v>
      </c>
      <c r="B38" s="85" t="s">
        <v>83</v>
      </c>
      <c r="C38" s="80">
        <v>1</v>
      </c>
      <c r="D38" s="81">
        <v>110180.928</v>
      </c>
      <c r="E38" s="81">
        <f t="shared" si="25"/>
        <v>2575.148649216</v>
      </c>
      <c r="F38" s="81">
        <f t="shared" si="26"/>
        <v>2575.148649216</v>
      </c>
      <c r="G38" s="81">
        <f t="shared" si="45"/>
        <v>8428.840992</v>
      </c>
      <c r="H38" s="81">
        <f t="shared" si="46"/>
        <v>10147.6634688</v>
      </c>
      <c r="I38" s="81">
        <f t="shared" si="10"/>
        <v>16908</v>
      </c>
      <c r="J38" s="81">
        <f t="shared" si="11"/>
        <v>479.136</v>
      </c>
      <c r="K38" s="81">
        <f t="shared" si="42"/>
        <v>146144.5684608</v>
      </c>
      <c r="L38" s="81">
        <f t="shared" si="43"/>
        <v>148719.71711001598</v>
      </c>
      <c r="M38" s="82">
        <f t="shared" si="47"/>
        <v>146144.5684608</v>
      </c>
      <c r="N38" s="83">
        <f t="shared" si="28"/>
        <v>146144.5684608</v>
      </c>
      <c r="O38" s="70">
        <f t="shared" si="56"/>
        <v>110180.928</v>
      </c>
      <c r="P38" s="70">
        <f t="shared" si="48"/>
        <v>5554.9224329913595</v>
      </c>
      <c r="Q38" s="70">
        <f t="shared" si="49"/>
        <v>5554.9224329913595</v>
      </c>
      <c r="R38" s="81">
        <f t="shared" si="50"/>
        <v>8428.840992</v>
      </c>
      <c r="S38" s="81">
        <f t="shared" si="51"/>
        <v>11249.472748799999</v>
      </c>
      <c r="T38" s="81">
        <f t="shared" si="52"/>
        <v>17580</v>
      </c>
      <c r="U38" s="81">
        <f t="shared" si="20"/>
        <v>479.136</v>
      </c>
      <c r="V38" s="70">
        <f t="shared" si="35"/>
        <v>147918.3777408</v>
      </c>
      <c r="W38" s="70">
        <f t="shared" si="36"/>
        <v>153473.30017379136</v>
      </c>
      <c r="X38" s="70">
        <f t="shared" si="53"/>
        <v>147918.3777408</v>
      </c>
      <c r="Y38" s="70">
        <f t="shared" si="54"/>
        <v>147918.3777408</v>
      </c>
      <c r="Z38" s="70">
        <f t="shared" si="55"/>
        <v>294062.9462016</v>
      </c>
      <c r="AA38" s="71">
        <f>+Z38/C38</f>
        <v>294062.9462016</v>
      </c>
      <c r="AB38" s="72">
        <f>C38</f>
        <v>1</v>
      </c>
      <c r="AC38" s="72"/>
      <c r="AD38" s="72"/>
      <c r="AE38" s="72"/>
      <c r="AF38" s="72"/>
    </row>
    <row r="39" spans="1:32" ht="15">
      <c r="A39" s="89" t="s">
        <v>84</v>
      </c>
      <c r="B39" s="89"/>
      <c r="C39" s="90">
        <f>SUM(C30:C38)</f>
        <v>20</v>
      </c>
      <c r="D39" s="91"/>
      <c r="E39" s="91"/>
      <c r="F39" s="91">
        <f>SUM(F30:F38)</f>
        <v>28044.498781288</v>
      </c>
      <c r="G39" s="91">
        <f aca="true" t="shared" si="57" ref="G39:Z39">SUM(G30:G38)</f>
        <v>89141.988375</v>
      </c>
      <c r="H39" s="91">
        <f t="shared" si="57"/>
        <v>107319.96247500001</v>
      </c>
      <c r="I39" s="91">
        <f t="shared" si="57"/>
        <v>152172</v>
      </c>
      <c r="J39" s="91">
        <f t="shared" si="57"/>
        <v>4312.224</v>
      </c>
      <c r="K39" s="91">
        <f t="shared" si="57"/>
        <v>1518200.9248499998</v>
      </c>
      <c r="L39" s="91"/>
      <c r="M39" s="91">
        <f t="shared" si="57"/>
        <v>3514553.659064399</v>
      </c>
      <c r="N39" s="91"/>
      <c r="O39" s="91">
        <f t="shared" si="57"/>
        <v>1165254.75</v>
      </c>
      <c r="P39" s="91"/>
      <c r="Q39" s="91">
        <f>SUM(Q30:Q38)</f>
        <v>136624.26152996597</v>
      </c>
      <c r="R39" s="91">
        <f t="shared" si="57"/>
        <v>89141.988375</v>
      </c>
      <c r="S39" s="91">
        <f t="shared" si="57"/>
        <v>118972.509975</v>
      </c>
      <c r="T39" s="91">
        <f t="shared" si="57"/>
        <v>158220</v>
      </c>
      <c r="U39" s="91">
        <f t="shared" si="57"/>
        <v>4312.224</v>
      </c>
      <c r="V39" s="91">
        <f t="shared" si="57"/>
        <v>1535901.4723499997</v>
      </c>
      <c r="W39" s="91"/>
      <c r="X39" s="91">
        <f t="shared" si="57"/>
        <v>3555092.8456043997</v>
      </c>
      <c r="Y39" s="91"/>
      <c r="Z39" s="91">
        <f t="shared" si="57"/>
        <v>7069646.5046688</v>
      </c>
      <c r="AA39" s="71"/>
      <c r="AB39" s="71"/>
      <c r="AC39" s="72"/>
      <c r="AD39" s="72"/>
      <c r="AE39" s="72"/>
      <c r="AF39" s="72"/>
    </row>
    <row r="40" spans="1:32" ht="15">
      <c r="A40" s="89"/>
      <c r="B40" s="89"/>
      <c r="C40" s="90"/>
      <c r="D40" s="92"/>
      <c r="E40" s="92"/>
      <c r="F40" s="92"/>
      <c r="G40" s="92"/>
      <c r="H40" s="92"/>
      <c r="I40" s="92"/>
      <c r="J40" s="92"/>
      <c r="K40" s="92"/>
      <c r="L40" s="92"/>
      <c r="M40" s="93"/>
      <c r="N40" s="92"/>
      <c r="O40" s="70"/>
      <c r="P40" s="70"/>
      <c r="Q40" s="70"/>
      <c r="R40" s="81"/>
      <c r="S40" s="81"/>
      <c r="T40" s="81"/>
      <c r="U40" s="81"/>
      <c r="V40" s="70"/>
      <c r="W40" s="70"/>
      <c r="X40" s="70"/>
      <c r="Y40" s="70"/>
      <c r="Z40" s="70"/>
      <c r="AA40" s="71"/>
      <c r="AB40" s="71"/>
      <c r="AC40" s="86" t="s">
        <v>85</v>
      </c>
      <c r="AD40" s="72"/>
      <c r="AE40" s="72"/>
      <c r="AF40" s="71">
        <f>SUM(AF6,AF23:AF26,AF17)</f>
        <v>142594.65917303078</v>
      </c>
    </row>
    <row r="41" spans="1:32" ht="15">
      <c r="A41" s="94" t="s">
        <v>86</v>
      </c>
      <c r="B41" s="94"/>
      <c r="C41" s="95">
        <f>+C21+C29+C39</f>
        <v>369.25</v>
      </c>
      <c r="D41" s="96">
        <f aca="true" t="shared" si="58" ref="D41:K41">+D21+D29+D39</f>
        <v>1502481.8240080592</v>
      </c>
      <c r="E41" s="96">
        <f t="shared" si="58"/>
        <v>35116.00519071636</v>
      </c>
      <c r="F41" s="96">
        <f>F39+F29+F21</f>
        <v>660841.4301549181</v>
      </c>
      <c r="G41" s="96">
        <f t="shared" si="58"/>
        <v>204081.84791161653</v>
      </c>
      <c r="H41" s="96">
        <f t="shared" si="58"/>
        <v>245698.53846614226</v>
      </c>
      <c r="I41" s="96">
        <f t="shared" si="58"/>
        <v>507240</v>
      </c>
      <c r="J41" s="96">
        <f t="shared" si="58"/>
        <v>14374.080000000004</v>
      </c>
      <c r="K41" s="96">
        <f t="shared" si="58"/>
        <v>3639131.040385818</v>
      </c>
      <c r="L41" s="184"/>
      <c r="M41" s="97">
        <f>+M21+M29+M39</f>
        <v>41582111.87574589</v>
      </c>
      <c r="N41" s="97"/>
      <c r="O41" s="97">
        <f aca="true" t="shared" si="59" ref="O41:Z41">+O21+O29+O39</f>
        <v>2667736.574008059</v>
      </c>
      <c r="P41" s="97"/>
      <c r="Q41" s="96">
        <f>Q39+Q29+Q21</f>
        <v>1516974.1234368675</v>
      </c>
      <c r="R41" s="97">
        <f t="shared" si="59"/>
        <v>204081.84791161653</v>
      </c>
      <c r="S41" s="97">
        <f t="shared" si="59"/>
        <v>272375.90420622285</v>
      </c>
      <c r="T41" s="97">
        <f t="shared" si="59"/>
        <v>527400</v>
      </c>
      <c r="U41" s="97">
        <f t="shared" si="59"/>
        <v>14374.080000000004</v>
      </c>
      <c r="V41" s="97">
        <f t="shared" si="59"/>
        <v>3685968.4061258975</v>
      </c>
      <c r="W41" s="97"/>
      <c r="X41" s="97">
        <f t="shared" si="59"/>
        <v>42131137.07570949</v>
      </c>
      <c r="Y41" s="97"/>
      <c r="Z41" s="97">
        <f t="shared" si="59"/>
        <v>83713248.9514554</v>
      </c>
      <c r="AA41" s="71"/>
      <c r="AB41" s="72">
        <f>SUM(AB6:AB40)</f>
        <v>354.25</v>
      </c>
      <c r="AC41" s="84" t="s">
        <v>87</v>
      </c>
      <c r="AD41" s="72"/>
      <c r="AE41" s="72"/>
      <c r="AF41" s="71">
        <f>SUM(AF5,AF32:AF34,AF16,AF9)</f>
        <v>50800.971242135216</v>
      </c>
    </row>
    <row r="47" ht="12.75">
      <c r="B47" s="71">
        <f>F41+Q41</f>
        <v>2177815.5535917855</v>
      </c>
    </row>
  </sheetData>
  <sheetProtection/>
  <mergeCells count="1">
    <mergeCell ref="C3:M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McCaw, Sondra</cp:lastModifiedBy>
  <cp:lastPrinted>2015-06-18T22:17:41Z</cp:lastPrinted>
  <dcterms:created xsi:type="dcterms:W3CDTF">1999-06-02T23:29:55Z</dcterms:created>
  <dcterms:modified xsi:type="dcterms:W3CDTF">2015-06-24T21:39:12Z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