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35" windowWidth="10395" windowHeight="5640" tabRatio="945" activeTab="0"/>
  </bookViews>
  <sheets>
    <sheet name="DDD.Fin Plan_14_Supp" sheetId="10" r:id="rId1"/>
  </sheets>
  <definedNames>
    <definedName name="Appro" localSheetId="0">#REF!</definedName>
    <definedName name="Appro">#REF!</definedName>
    <definedName name="Carryover" localSheetId="0">#REF!</definedName>
    <definedName name="Carryover">#REF!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urthQOO" localSheetId="0">#REF!</definedName>
    <definedName name="FourthQOO">#REF!</definedName>
    <definedName name="Other" localSheetId="0">#REF!</definedName>
    <definedName name="Other">#REF!</definedName>
    <definedName name="_xlnm.Print_Area" localSheetId="0">'DDD.Fin Plan_14_Supp'!$A$1:$K$47</definedName>
    <definedName name="SecondQOO" localSheetId="0">#REF!</definedName>
    <definedName name="SecondQOO">#REF!</definedName>
    <definedName name="Table" localSheetId="0">#REF!</definedName>
    <definedName name="Table">#REF!</definedName>
    <definedName name="ThirdQOO" localSheetId="0">#REF!</definedName>
    <definedName name="ThirdQOO">#REF!</definedName>
  </definedNames>
  <calcPr calcId="145621"/>
</workbook>
</file>

<file path=xl/sharedStrings.xml><?xml version="1.0" encoding="utf-8"?>
<sst xmlns="http://schemas.openxmlformats.org/spreadsheetml/2006/main" count="58" uniqueCount="58">
  <si>
    <t>Non-GF Financial Plan</t>
  </si>
  <si>
    <t>Category</t>
  </si>
  <si>
    <r>
      <t xml:space="preserve">2012 Actual </t>
    </r>
    <r>
      <rPr>
        <b/>
        <vertAlign val="superscript"/>
        <sz val="12"/>
        <rFont val="Calibri"/>
        <family val="2"/>
        <scheme val="minor"/>
      </rPr>
      <t>1</t>
    </r>
  </si>
  <si>
    <r>
      <t>2013 Adopted</t>
    </r>
    <r>
      <rPr>
        <b/>
        <vertAlign val="superscript"/>
        <sz val="12"/>
        <rFont val="Calibri"/>
        <family val="2"/>
        <scheme val="minor"/>
      </rPr>
      <t>2</t>
    </r>
  </si>
  <si>
    <r>
      <t>2014 Adopted</t>
    </r>
    <r>
      <rPr>
        <b/>
        <vertAlign val="superscript"/>
        <sz val="12"/>
        <rFont val="Calibri"/>
        <family val="2"/>
        <scheme val="minor"/>
      </rPr>
      <t>2</t>
    </r>
  </si>
  <si>
    <r>
      <t>2013 Revised</t>
    </r>
    <r>
      <rPr>
        <b/>
        <vertAlign val="superscript"/>
        <sz val="12"/>
        <rFont val="Calibri"/>
        <family val="2"/>
        <scheme val="minor"/>
      </rPr>
      <t>3</t>
    </r>
  </si>
  <si>
    <r>
      <t>2014 Revised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 xml:space="preserve"> </t>
    </r>
  </si>
  <si>
    <r>
      <t>2013 Estimated</t>
    </r>
    <r>
      <rPr>
        <b/>
        <vertAlign val="superscript"/>
        <sz val="12"/>
        <rFont val="Calibri"/>
        <family val="2"/>
        <scheme val="minor"/>
      </rPr>
      <t>4</t>
    </r>
  </si>
  <si>
    <r>
      <t>2014 Estimated</t>
    </r>
    <r>
      <rPr>
        <b/>
        <vertAlign val="superscript"/>
        <sz val="12"/>
        <rFont val="Calibri"/>
        <family val="2"/>
        <scheme val="minor"/>
      </rPr>
      <t>4</t>
    </r>
  </si>
  <si>
    <t>2013 Estimated-Adopted Change</t>
  </si>
  <si>
    <t>2014 Estimated-Adopted Change</t>
  </si>
  <si>
    <t>Explanation of Change</t>
  </si>
  <si>
    <t xml:space="preserve">Beginning Fund Balance </t>
  </si>
  <si>
    <t>Revenues</t>
  </si>
  <si>
    <t>Total Revenues</t>
  </si>
  <si>
    <t>Total Biennial Revenues</t>
  </si>
  <si>
    <t>Expenditures</t>
  </si>
  <si>
    <t>Total Expenditures</t>
  </si>
  <si>
    <t>Total Biennial Expenditures</t>
  </si>
  <si>
    <t>Estimated Underexpenditures</t>
  </si>
  <si>
    <t>Other Fund Transactions</t>
  </si>
  <si>
    <t>Total Other Fund Transactions</t>
  </si>
  <si>
    <t>Total Biennial Other Fund Transactions</t>
  </si>
  <si>
    <t>Ending Fund Balance</t>
  </si>
  <si>
    <t>Reserves</t>
  </si>
  <si>
    <t>Expenditure Reserves</t>
  </si>
  <si>
    <t>Reserve Shortfall</t>
  </si>
  <si>
    <t>Ending Undesignated Fund Balance</t>
  </si>
  <si>
    <t>Financial Plan Notes:</t>
  </si>
  <si>
    <t>Fund Name:  Developmental Disabilities Fund/Developmental Disabilities</t>
  </si>
  <si>
    <t>Fund Number:   1070/0920</t>
  </si>
  <si>
    <t>Taxes</t>
  </si>
  <si>
    <t>Intergovernmental Payments</t>
  </si>
  <si>
    <t>State Grants</t>
  </si>
  <si>
    <t>Federal Grants</t>
  </si>
  <si>
    <t>Other Financing Sources</t>
  </si>
  <si>
    <t>Wages, Benefits and Retirement</t>
  </si>
  <si>
    <t>Supplies</t>
  </si>
  <si>
    <t>Direct Services</t>
  </si>
  <si>
    <t>Service-Other Charges</t>
  </si>
  <si>
    <t>Intergovernmental Services</t>
  </si>
  <si>
    <t>Intergovernmental Contributions</t>
  </si>
  <si>
    <t>Chagnes in Fund Blance</t>
  </si>
  <si>
    <r>
      <t>Rainy Day Reserves@45 days of Expenditures</t>
    </r>
    <r>
      <rPr>
        <vertAlign val="superscript"/>
        <sz val="12"/>
        <rFont val="Calibri"/>
        <family val="2"/>
        <scheme val="minor"/>
      </rPr>
      <t>5</t>
    </r>
  </si>
  <si>
    <r>
      <t xml:space="preserve">2 </t>
    </r>
    <r>
      <rPr>
        <sz val="12"/>
        <rFont val="Calibri"/>
        <family val="2"/>
        <scheme val="minor"/>
      </rPr>
      <t>Adopted is taken from the Budget Ordinance 17476.</t>
    </r>
  </si>
  <si>
    <r>
      <t xml:space="preserve">1 </t>
    </r>
    <r>
      <rPr>
        <sz val="12"/>
        <rFont val="Calibri"/>
        <family val="2"/>
        <scheme val="minor"/>
      </rPr>
      <t>Actuals are taken from BI Publisher "GL_REPT_030" dated 03/14/14.</t>
    </r>
  </si>
  <si>
    <t>1st Omnibus</t>
  </si>
  <si>
    <t>Date Prepared:  04/10/14</t>
  </si>
  <si>
    <r>
      <rPr>
        <vertAlign val="superscript"/>
        <sz val="12"/>
        <rFont val="Calibri"/>
        <family val="2"/>
        <scheme val="minor"/>
      </rPr>
      <t>5</t>
    </r>
    <r>
      <rPr>
        <sz val="12"/>
        <rFont val="Calibri"/>
        <family val="2"/>
        <scheme val="minor"/>
      </rPr>
      <t xml:space="preserve"> The fund is a Special Revenue Fund and KCDDD puts aside 45 days of Annual Expenditures as Rainy Day Reserve for the years of 2013-2014.</t>
    </r>
  </si>
  <si>
    <t>2012-13 YE Reconciliation Rev &amp; Exp.</t>
  </si>
  <si>
    <r>
      <t xml:space="preserve">3 </t>
    </r>
    <r>
      <rPr>
        <sz val="12"/>
        <rFont val="Calibri"/>
        <family val="2"/>
        <scheme val="minor"/>
      </rPr>
      <t>Revised reflects changes to adopted appropriation by KC Council.</t>
    </r>
  </si>
  <si>
    <r>
      <rPr>
        <vertAlign val="superscript"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Estimated reflects known changes to revenues and requested changes to expenditures - 2013 DDD Actual &amp; 2014 DDD's 1st Supplemental Request dated 04/10/14.</t>
    </r>
  </si>
  <si>
    <t>Prepared by:     Esther Wu - 05/06/14</t>
  </si>
  <si>
    <t>2013 Beginning Balance Adjustments-FBOD</t>
  </si>
  <si>
    <t>Adj-DCHS/DO moved to F-1080</t>
  </si>
  <si>
    <t>PM-State DDA new money.</t>
  </si>
  <si>
    <t>PM-Fed. Part C new money.</t>
  </si>
  <si>
    <t>PM-State/Fed. new money.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</si>
</sst>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rgb="FF0000CC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3" fillId="0" borderId="0">
      <alignment/>
      <protection/>
    </xf>
  </cellStyleXfs>
  <cellXfs count="165">
    <xf numFmtId="0" fontId="0" fillId="0" borderId="0" xfId="0"/>
    <xf numFmtId="0" fontId="0" fillId="0" borderId="0" xfId="0" applyBorder="1"/>
    <xf numFmtId="37" fontId="2" fillId="0" borderId="0" xfId="20" applyFont="1" applyBorder="1" applyAlignment="1">
      <alignment horizontal="centerContinuous" wrapText="1"/>
      <protection/>
    </xf>
    <xf numFmtId="37" fontId="4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0" borderId="0" xfId="0" applyBorder="1" applyAlignment="1">
      <alignment horizontal="left"/>
    </xf>
    <xf numFmtId="37" fontId="5" fillId="0" borderId="0" xfId="20" applyFont="1" applyBorder="1" applyAlignment="1">
      <alignment horizontal="centerContinuous" wrapText="1"/>
      <protection/>
    </xf>
    <xf numFmtId="37" fontId="1" fillId="2" borderId="0" xfId="20" applyFont="1" applyFill="1" applyAlignment="1">
      <alignment horizontal="center" wrapText="1"/>
      <protection/>
    </xf>
    <xf numFmtId="0" fontId="3" fillId="2" borderId="0" xfId="0" applyFont="1" applyFill="1"/>
    <xf numFmtId="0" fontId="1" fillId="0" borderId="0" xfId="0" applyFont="1"/>
    <xf numFmtId="164" fontId="3" fillId="0" borderId="0" xfId="18" applyNumberFormat="1" applyFont="1" applyBorder="1"/>
    <xf numFmtId="164" fontId="3" fillId="0" borderId="0" xfId="18" applyNumberFormat="1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164" fontId="3" fillId="0" borderId="0" xfId="18" applyNumberFormat="1" applyFont="1" applyFill="1" applyBorder="1"/>
    <xf numFmtId="37" fontId="6" fillId="0" borderId="0" xfId="20" applyFont="1" applyBorder="1">
      <alignment/>
      <protection/>
    </xf>
    <xf numFmtId="0" fontId="6" fillId="0" borderId="0" xfId="0" applyFont="1"/>
    <xf numFmtId="0" fontId="6" fillId="0" borderId="0" xfId="0" applyFont="1" applyBorder="1"/>
    <xf numFmtId="37" fontId="3" fillId="0" borderId="0" xfId="20" applyFont="1" applyBorder="1">
      <alignment/>
      <protection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/>
    <xf numFmtId="0" fontId="7" fillId="0" borderId="0" xfId="0" applyFont="1" applyBorder="1"/>
    <xf numFmtId="0" fontId="8" fillId="0" borderId="0" xfId="0" applyFont="1" applyBorder="1"/>
    <xf numFmtId="37" fontId="9" fillId="0" borderId="0" xfId="20" applyFont="1" applyBorder="1">
      <alignment/>
      <protection/>
    </xf>
    <xf numFmtId="37" fontId="8" fillId="0" borderId="0" xfId="20" applyFont="1" applyBorder="1">
      <alignment/>
      <protection/>
    </xf>
    <xf numFmtId="0" fontId="11" fillId="2" borderId="0" xfId="0" applyFont="1" applyFill="1" applyBorder="1" applyAlignment="1">
      <alignment horizontal="left"/>
    </xf>
    <xf numFmtId="37" fontId="12" fillId="0" borderId="0" xfId="20" applyFont="1" applyBorder="1" applyAlignment="1">
      <alignment horizontal="center" wrapText="1"/>
      <protection/>
    </xf>
    <xf numFmtId="0" fontId="11" fillId="2" borderId="0" xfId="0" applyFont="1" applyFill="1" applyBorder="1" applyAlignment="1">
      <alignment horizontal="centerContinuous"/>
    </xf>
    <xf numFmtId="37" fontId="11" fillId="0" borderId="0" xfId="20" applyFont="1" applyBorder="1" applyAlignment="1">
      <alignment horizontal="left" wrapText="1"/>
      <protection/>
    </xf>
    <xf numFmtId="37" fontId="12" fillId="0" borderId="0" xfId="20" applyFont="1" applyBorder="1" applyAlignment="1">
      <alignment horizontal="left"/>
      <protection/>
    </xf>
    <xf numFmtId="37" fontId="12" fillId="0" borderId="1" xfId="20" applyFont="1" applyBorder="1" applyAlignment="1">
      <alignment horizontal="left" wrapText="1"/>
      <protection/>
    </xf>
    <xf numFmtId="37" fontId="13" fillId="0" borderId="0" xfId="20" applyFont="1" applyBorder="1" applyAlignment="1">
      <alignment horizontal="left" wrapText="1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37" fontId="11" fillId="0" borderId="0" xfId="20" applyFont="1" applyBorder="1" applyAlignment="1">
      <alignment horizontal="centerContinuous" wrapText="1"/>
      <protection/>
    </xf>
    <xf numFmtId="0" fontId="11" fillId="0" borderId="0" xfId="0" applyFont="1" applyBorder="1"/>
    <xf numFmtId="37" fontId="12" fillId="2" borderId="2" xfId="20" applyFont="1" applyFill="1" applyBorder="1" applyAlignment="1" applyProtection="1">
      <alignment horizontal="left" wrapText="1"/>
      <protection/>
    </xf>
    <xf numFmtId="37" fontId="12" fillId="2" borderId="3" xfId="20" applyFont="1" applyFill="1" applyBorder="1" applyAlignment="1">
      <alignment horizontal="center" wrapText="1"/>
      <protection/>
    </xf>
    <xf numFmtId="37" fontId="12" fillId="0" borderId="2" xfId="20" applyFont="1" applyFill="1" applyBorder="1" applyAlignment="1">
      <alignment horizontal="left"/>
      <protection/>
    </xf>
    <xf numFmtId="37" fontId="12" fillId="0" borderId="4" xfId="20" applyFont="1" applyFill="1" applyBorder="1" applyAlignment="1">
      <alignment horizontal="left" vertical="center"/>
      <protection/>
    </xf>
    <xf numFmtId="37" fontId="11" fillId="0" borderId="4" xfId="20" applyFont="1" applyFill="1" applyBorder="1" applyAlignment="1">
      <alignment horizontal="left" vertical="center"/>
      <protection/>
    </xf>
    <xf numFmtId="37" fontId="12" fillId="0" borderId="2" xfId="20" applyFont="1" applyFill="1" applyBorder="1" applyAlignment="1">
      <alignment horizontal="left" vertical="center"/>
      <protection/>
    </xf>
    <xf numFmtId="37" fontId="12" fillId="0" borderId="5" xfId="20" applyFont="1" applyFill="1" applyBorder="1" applyAlignment="1">
      <alignment horizontal="left" vertical="center"/>
      <protection/>
    </xf>
    <xf numFmtId="164" fontId="12" fillId="0" borderId="0" xfId="18" applyNumberFormat="1" applyFont="1" applyFill="1" applyBorder="1" applyAlignment="1">
      <alignment vertical="center"/>
    </xf>
    <xf numFmtId="37" fontId="12" fillId="0" borderId="0" xfId="20" applyFont="1" applyAlignment="1">
      <alignment horizontal="left"/>
      <protection/>
    </xf>
    <xf numFmtId="37" fontId="11" fillId="0" borderId="0" xfId="20" applyFont="1" applyBorder="1">
      <alignment/>
      <protection/>
    </xf>
    <xf numFmtId="37" fontId="12" fillId="0" borderId="0" xfId="20" applyFont="1" applyBorder="1">
      <alignment/>
      <protection/>
    </xf>
    <xf numFmtId="0" fontId="11" fillId="0" borderId="0" xfId="0" applyFont="1"/>
    <xf numFmtId="0" fontId="15" fillId="0" borderId="0" xfId="0" applyFont="1"/>
    <xf numFmtId="37" fontId="15" fillId="0" borderId="0" xfId="20" applyFont="1" applyBorder="1" applyAlignment="1">
      <alignment horizontal="left"/>
      <protection/>
    </xf>
    <xf numFmtId="37" fontId="3" fillId="0" borderId="0" xfId="20" applyFont="1" applyBorder="1" applyAlignment="1">
      <alignment horizontal="centerContinuous" wrapText="1"/>
      <protection/>
    </xf>
    <xf numFmtId="164" fontId="1" fillId="0" borderId="0" xfId="18" applyNumberFormat="1" applyFont="1" applyBorder="1"/>
    <xf numFmtId="164" fontId="1" fillId="0" borderId="0" xfId="18" applyNumberFormat="1" applyFont="1"/>
    <xf numFmtId="0" fontId="1" fillId="0" borderId="0" xfId="0" applyFont="1"/>
    <xf numFmtId="164" fontId="1" fillId="0" borderId="0" xfId="18" applyNumberFormat="1" applyFont="1" applyFill="1" applyBorder="1"/>
    <xf numFmtId="0" fontId="15" fillId="0" borderId="0" xfId="0" applyFont="1" applyFill="1"/>
    <xf numFmtId="0" fontId="11" fillId="0" borderId="0" xfId="0" applyFont="1" applyFill="1" applyBorder="1"/>
    <xf numFmtId="37" fontId="12" fillId="0" borderId="0" xfId="20" applyFont="1" applyFill="1" applyBorder="1" applyAlignment="1">
      <alignment horizontal="left" vertical="center"/>
      <protection/>
    </xf>
    <xf numFmtId="164" fontId="11" fillId="0" borderId="0" xfId="18" applyNumberFormat="1" applyFont="1" applyBorder="1" applyAlignment="1">
      <alignment vertical="center"/>
    </xf>
    <xf numFmtId="164" fontId="11" fillId="0" borderId="0" xfId="18" applyNumberFormat="1" applyFont="1" applyBorder="1" applyAlignment="1">
      <alignment vertical="center" wrapText="1"/>
    </xf>
    <xf numFmtId="37" fontId="12" fillId="2" borderId="6" xfId="20" applyFont="1" applyFill="1" applyBorder="1" applyAlignment="1">
      <alignment horizontal="center" wrapText="1"/>
      <protection/>
    </xf>
    <xf numFmtId="164" fontId="12" fillId="0" borderId="7" xfId="18" applyNumberFormat="1" applyFont="1" applyFill="1" applyBorder="1" applyAlignment="1">
      <alignment/>
    </xf>
    <xf numFmtId="164" fontId="12" fillId="0" borderId="8" xfId="18" applyNumberFormat="1" applyFont="1" applyFill="1" applyBorder="1" applyAlignment="1">
      <alignment/>
    </xf>
    <xf numFmtId="164" fontId="11" fillId="0" borderId="9" xfId="18" applyNumberFormat="1" applyFont="1" applyFill="1" applyBorder="1" applyAlignment="1">
      <alignment vertical="center"/>
    </xf>
    <xf numFmtId="164" fontId="11" fillId="0" borderId="10" xfId="18" applyNumberFormat="1" applyFont="1" applyBorder="1" applyAlignment="1">
      <alignment vertical="center"/>
    </xf>
    <xf numFmtId="164" fontId="11" fillId="0" borderId="10" xfId="18" applyNumberFormat="1" applyFont="1" applyFill="1" applyBorder="1" applyAlignment="1">
      <alignment vertical="center"/>
    </xf>
    <xf numFmtId="164" fontId="12" fillId="0" borderId="11" xfId="18" applyNumberFormat="1" applyFont="1" applyFill="1" applyBorder="1" applyAlignment="1">
      <alignment vertical="center"/>
    </xf>
    <xf numFmtId="37" fontId="12" fillId="2" borderId="12" xfId="20" applyFont="1" applyFill="1" applyBorder="1" applyAlignment="1">
      <alignment horizontal="center" wrapText="1"/>
      <protection/>
    </xf>
    <xf numFmtId="164" fontId="11" fillId="0" borderId="13" xfId="18" applyNumberFormat="1" applyFont="1" applyFill="1" applyBorder="1" applyAlignment="1">
      <alignment vertical="center"/>
    </xf>
    <xf numFmtId="164" fontId="12" fillId="0" borderId="14" xfId="18" applyNumberFormat="1" applyFont="1" applyFill="1" applyBorder="1" applyAlignment="1">
      <alignment vertical="center"/>
    </xf>
    <xf numFmtId="164" fontId="11" fillId="0" borderId="7" xfId="18" applyNumberFormat="1" applyFont="1" applyFill="1" applyBorder="1" applyAlignment="1">
      <alignment vertical="center"/>
    </xf>
    <xf numFmtId="164" fontId="11" fillId="0" borderId="8" xfId="18" applyNumberFormat="1" applyFont="1" applyFill="1" applyBorder="1" applyAlignment="1" quotePrefix="1">
      <alignment vertical="center"/>
    </xf>
    <xf numFmtId="164" fontId="12" fillId="0" borderId="9" xfId="18" applyNumberFormat="1" applyFont="1" applyFill="1" applyBorder="1" applyAlignment="1">
      <alignment vertical="center"/>
    </xf>
    <xf numFmtId="164" fontId="11" fillId="0" borderId="15" xfId="18" applyNumberFormat="1" applyFont="1" applyFill="1" applyBorder="1" applyAlignment="1">
      <alignment vertical="center"/>
    </xf>
    <xf numFmtId="164" fontId="12" fillId="0" borderId="15" xfId="18" applyNumberFormat="1" applyFont="1" applyFill="1" applyBorder="1" applyAlignment="1">
      <alignment vertical="center"/>
    </xf>
    <xf numFmtId="164" fontId="12" fillId="0" borderId="16" xfId="18" applyNumberFormat="1" applyFont="1" applyFill="1" applyBorder="1" applyAlignment="1">
      <alignment vertical="center"/>
    </xf>
    <xf numFmtId="164" fontId="11" fillId="0" borderId="13" xfId="18" applyNumberFormat="1" applyFont="1" applyBorder="1" applyAlignment="1">
      <alignment vertical="center"/>
    </xf>
    <xf numFmtId="164" fontId="11" fillId="0" borderId="9" xfId="18" applyNumberFormat="1" applyFont="1" applyBorder="1" applyAlignment="1">
      <alignment vertical="center"/>
    </xf>
    <xf numFmtId="164" fontId="11" fillId="0" borderId="17" xfId="18" applyNumberFormat="1" applyFont="1" applyFill="1" applyBorder="1" applyAlignment="1">
      <alignment vertical="center"/>
    </xf>
    <xf numFmtId="37" fontId="12" fillId="3" borderId="18" xfId="20" applyFont="1" applyFill="1" applyBorder="1" applyAlignment="1">
      <alignment horizontal="center" wrapText="1"/>
      <protection/>
    </xf>
    <xf numFmtId="37" fontId="12" fillId="3" borderId="6" xfId="20" applyFont="1" applyFill="1" applyBorder="1" applyAlignment="1">
      <alignment horizontal="center" wrapText="1"/>
      <protection/>
    </xf>
    <xf numFmtId="37" fontId="12" fillId="3" borderId="19" xfId="20" applyFont="1" applyFill="1" applyBorder="1" applyAlignment="1">
      <alignment horizontal="center" wrapText="1"/>
      <protection/>
    </xf>
    <xf numFmtId="164" fontId="12" fillId="3" borderId="18" xfId="18" applyNumberFormat="1" applyFont="1" applyFill="1" applyBorder="1" applyAlignment="1">
      <alignment/>
    </xf>
    <xf numFmtId="164" fontId="12" fillId="3" borderId="7" xfId="18" applyNumberFormat="1" applyFont="1" applyFill="1" applyBorder="1" applyAlignment="1">
      <alignment/>
    </xf>
    <xf numFmtId="164" fontId="12" fillId="3" borderId="8" xfId="18" applyNumberFormat="1" applyFont="1" applyFill="1" applyBorder="1" applyAlignment="1">
      <alignment/>
    </xf>
    <xf numFmtId="164" fontId="11" fillId="3" borderId="20" xfId="18" applyNumberFormat="1" applyFont="1" applyFill="1" applyBorder="1" applyAlignment="1">
      <alignment vertical="center"/>
    </xf>
    <xf numFmtId="164" fontId="11" fillId="3" borderId="9" xfId="18" applyNumberFormat="1" applyFont="1" applyFill="1" applyBorder="1" applyAlignment="1">
      <alignment vertical="center"/>
    </xf>
    <xf numFmtId="164" fontId="11" fillId="3" borderId="10" xfId="18" applyNumberFormat="1" applyFont="1" applyFill="1" applyBorder="1" applyAlignment="1">
      <alignment vertical="center"/>
    </xf>
    <xf numFmtId="164" fontId="12" fillId="3" borderId="18" xfId="18" applyNumberFormat="1" applyFont="1" applyFill="1" applyBorder="1" applyAlignment="1">
      <alignment vertical="center"/>
    </xf>
    <xf numFmtId="164" fontId="11" fillId="3" borderId="18" xfId="18" applyNumberFormat="1" applyFont="1" applyFill="1" applyBorder="1" applyAlignment="1" quotePrefix="1">
      <alignment vertical="center"/>
    </xf>
    <xf numFmtId="164" fontId="11" fillId="3" borderId="7" xfId="18" applyNumberFormat="1" applyFont="1" applyFill="1" applyBorder="1" applyAlignment="1">
      <alignment vertical="center"/>
    </xf>
    <xf numFmtId="164" fontId="11" fillId="3" borderId="17" xfId="18" applyNumberFormat="1" applyFont="1" applyFill="1" applyBorder="1" applyAlignment="1">
      <alignment vertical="center"/>
    </xf>
    <xf numFmtId="164" fontId="11" fillId="3" borderId="20" xfId="18" applyNumberFormat="1" applyFont="1" applyFill="1" applyBorder="1" applyAlignment="1" quotePrefix="1">
      <alignment vertical="center"/>
    </xf>
    <xf numFmtId="164" fontId="11" fillId="3" borderId="21" xfId="18" applyNumberFormat="1" applyFont="1" applyFill="1" applyBorder="1" applyAlignment="1">
      <alignment vertical="center"/>
    </xf>
    <xf numFmtId="164" fontId="11" fillId="3" borderId="8" xfId="18" applyNumberFormat="1" applyFont="1" applyFill="1" applyBorder="1" applyAlignment="1" quotePrefix="1">
      <alignment vertical="center"/>
    </xf>
    <xf numFmtId="164" fontId="12" fillId="3" borderId="20" xfId="18" applyNumberFormat="1" applyFont="1" applyFill="1" applyBorder="1" applyAlignment="1">
      <alignment vertical="center"/>
    </xf>
    <xf numFmtId="164" fontId="12" fillId="3" borderId="9" xfId="18" applyNumberFormat="1" applyFont="1" applyFill="1" applyBorder="1" applyAlignment="1">
      <alignment vertical="center"/>
    </xf>
    <xf numFmtId="164" fontId="12" fillId="3" borderId="10" xfId="18" applyNumberFormat="1" applyFont="1" applyFill="1" applyBorder="1" applyAlignment="1">
      <alignment vertical="center"/>
    </xf>
    <xf numFmtId="164" fontId="12" fillId="3" borderId="11" xfId="18" applyNumberFormat="1" applyFont="1" applyFill="1" applyBorder="1" applyAlignment="1">
      <alignment vertical="center"/>
    </xf>
    <xf numFmtId="164" fontId="12" fillId="3" borderId="22" xfId="18" applyNumberFormat="1" applyFont="1" applyFill="1" applyBorder="1" applyAlignment="1">
      <alignment vertical="center"/>
    </xf>
    <xf numFmtId="37" fontId="11" fillId="0" borderId="2" xfId="20" applyFont="1" applyFill="1" applyBorder="1" applyAlignment="1">
      <alignment horizontal="left" vertical="center"/>
      <protection/>
    </xf>
    <xf numFmtId="164" fontId="12" fillId="3" borderId="17" xfId="18" applyNumberFormat="1" applyFont="1" applyFill="1" applyBorder="1" applyAlignment="1">
      <alignment vertical="center"/>
    </xf>
    <xf numFmtId="164" fontId="12" fillId="3" borderId="23" xfId="18" applyNumberFormat="1" applyFont="1" applyFill="1" applyBorder="1" applyAlignment="1">
      <alignment vertical="center"/>
    </xf>
    <xf numFmtId="164" fontId="12" fillId="0" borderId="17" xfId="18" applyNumberFormat="1" applyFont="1" applyFill="1" applyBorder="1" applyAlignment="1">
      <alignment vertical="center"/>
    </xf>
    <xf numFmtId="164" fontId="12" fillId="0" borderId="23" xfId="18" applyNumberFormat="1" applyFont="1" applyFill="1" applyBorder="1" applyAlignment="1">
      <alignment vertical="center"/>
    </xf>
    <xf numFmtId="164" fontId="11" fillId="3" borderId="23" xfId="18" applyNumberFormat="1" applyFont="1" applyFill="1" applyBorder="1" applyAlignment="1" quotePrefix="1">
      <alignment vertical="center"/>
    </xf>
    <xf numFmtId="164" fontId="11" fillId="0" borderId="23" xfId="18" applyNumberFormat="1" applyFont="1" applyFill="1" applyBorder="1" applyAlignment="1" quotePrefix="1">
      <alignment vertical="center"/>
    </xf>
    <xf numFmtId="37" fontId="12" fillId="0" borderId="24" xfId="20" applyFont="1" applyFill="1" applyBorder="1" applyAlignment="1">
      <alignment horizontal="left" vertical="center"/>
      <protection/>
    </xf>
    <xf numFmtId="164" fontId="11" fillId="3" borderId="25" xfId="18" applyNumberFormat="1" applyFont="1" applyFill="1" applyBorder="1" applyAlignment="1" quotePrefix="1">
      <alignment vertical="center"/>
    </xf>
    <xf numFmtId="164" fontId="11" fillId="3" borderId="26" xfId="18" applyNumberFormat="1" applyFont="1" applyFill="1" applyBorder="1" applyAlignment="1" quotePrefix="1">
      <alignment vertical="center"/>
    </xf>
    <xf numFmtId="164" fontId="11" fillId="0" borderId="26" xfId="18" applyNumberFormat="1" applyFont="1" applyFill="1" applyBorder="1" applyAlignment="1" quotePrefix="1">
      <alignment vertical="center"/>
    </xf>
    <xf numFmtId="37" fontId="12" fillId="2" borderId="27" xfId="20" applyFont="1" applyFill="1" applyBorder="1" applyAlignment="1">
      <alignment horizontal="center" wrapText="1"/>
      <protection/>
    </xf>
    <xf numFmtId="164" fontId="12" fillId="0" borderId="28" xfId="18" applyNumberFormat="1" applyFont="1" applyBorder="1"/>
    <xf numFmtId="164" fontId="11" fillId="0" borderId="29" xfId="18" applyNumberFormat="1" applyFont="1" applyBorder="1" applyAlignment="1">
      <alignment vertical="center" wrapText="1"/>
    </xf>
    <xf numFmtId="164" fontId="11" fillId="0" borderId="30" xfId="18" applyNumberFormat="1" applyFont="1" applyBorder="1" applyAlignment="1">
      <alignment vertical="center" wrapText="1"/>
    </xf>
    <xf numFmtId="164" fontId="12" fillId="0" borderId="3" xfId="18" applyNumberFormat="1" applyFont="1" applyBorder="1" applyAlignment="1">
      <alignment vertical="center" wrapText="1"/>
    </xf>
    <xf numFmtId="164" fontId="11" fillId="0" borderId="3" xfId="18" applyNumberFormat="1" applyFont="1" applyBorder="1" applyAlignment="1">
      <alignment vertical="center" wrapText="1"/>
    </xf>
    <xf numFmtId="164" fontId="11" fillId="0" borderId="15" xfId="18" applyNumberFormat="1" applyFont="1" applyBorder="1" applyAlignment="1">
      <alignment vertical="center"/>
    </xf>
    <xf numFmtId="164" fontId="12" fillId="0" borderId="17" xfId="18" applyNumberFormat="1" applyFont="1" applyBorder="1" applyAlignment="1">
      <alignment vertical="center"/>
    </xf>
    <xf numFmtId="164" fontId="11" fillId="0" borderId="17" xfId="18" applyNumberFormat="1" applyFont="1" applyBorder="1" applyAlignment="1">
      <alignment vertical="center"/>
    </xf>
    <xf numFmtId="164" fontId="11" fillId="0" borderId="7" xfId="18" applyNumberFormat="1" applyFont="1" applyBorder="1" applyAlignment="1">
      <alignment vertical="center"/>
    </xf>
    <xf numFmtId="164" fontId="12" fillId="0" borderId="17" xfId="18" applyNumberFormat="1" applyFont="1" applyFill="1" applyBorder="1" applyAlignment="1">
      <alignment/>
    </xf>
    <xf numFmtId="164" fontId="12" fillId="0" borderId="23" xfId="18" applyNumberFormat="1" applyFont="1" applyBorder="1" applyAlignment="1">
      <alignment vertical="center"/>
    </xf>
    <xf numFmtId="37" fontId="12" fillId="0" borderId="0" xfId="20" applyFont="1" applyBorder="1" applyAlignment="1">
      <alignment horizontal="right" wrapText="1"/>
      <protection/>
    </xf>
    <xf numFmtId="43" fontId="11" fillId="0" borderId="4" xfId="18" applyFont="1" applyFill="1" applyBorder="1" applyAlignment="1">
      <alignment horizontal="left" vertical="center"/>
    </xf>
    <xf numFmtId="164" fontId="12" fillId="3" borderId="31" xfId="18" applyNumberFormat="1" applyFont="1" applyFill="1" applyBorder="1" applyAlignment="1">
      <alignment vertical="center"/>
    </xf>
    <xf numFmtId="164" fontId="12" fillId="0" borderId="31" xfId="18" applyNumberFormat="1" applyFont="1" applyFill="1" applyBorder="1" applyAlignment="1">
      <alignment vertical="center"/>
    </xf>
    <xf numFmtId="164" fontId="12" fillId="0" borderId="10" xfId="18" applyNumberFormat="1" applyFont="1" applyFill="1" applyBorder="1" applyAlignment="1">
      <alignment vertical="center"/>
    </xf>
    <xf numFmtId="164" fontId="12" fillId="0" borderId="9" xfId="18" applyNumberFormat="1" applyFont="1" applyBorder="1" applyAlignment="1">
      <alignment vertical="center"/>
    </xf>
    <xf numFmtId="164" fontId="12" fillId="0" borderId="15" xfId="18" applyNumberFormat="1" applyFont="1" applyBorder="1" applyAlignment="1">
      <alignment vertical="center"/>
    </xf>
    <xf numFmtId="164" fontId="12" fillId="0" borderId="30" xfId="18" applyNumberFormat="1" applyFont="1" applyBorder="1" applyAlignment="1">
      <alignment vertical="center" wrapText="1"/>
    </xf>
    <xf numFmtId="164" fontId="12" fillId="3" borderId="0" xfId="18" applyNumberFormat="1" applyFont="1" applyFill="1" applyBorder="1" applyAlignment="1">
      <alignment horizontal="center" vertical="center"/>
    </xf>
    <xf numFmtId="164" fontId="12" fillId="3" borderId="14" xfId="18" applyNumberFormat="1" applyFont="1" applyFill="1" applyBorder="1" applyAlignment="1">
      <alignment horizontal="center" vertical="center"/>
    </xf>
    <xf numFmtId="164" fontId="12" fillId="3" borderId="15" xfId="18" applyNumberFormat="1" applyFont="1" applyFill="1" applyBorder="1" applyAlignment="1">
      <alignment horizontal="center" vertical="center"/>
    </xf>
    <xf numFmtId="164" fontId="12" fillId="0" borderId="31" xfId="18" applyNumberFormat="1" applyFont="1" applyFill="1" applyBorder="1" applyAlignment="1">
      <alignment horizontal="center" vertical="center"/>
    </xf>
    <xf numFmtId="164" fontId="12" fillId="0" borderId="32" xfId="18" applyNumberFormat="1" applyFont="1" applyFill="1" applyBorder="1" applyAlignment="1">
      <alignment horizontal="center" vertical="center"/>
    </xf>
    <xf numFmtId="164" fontId="12" fillId="3" borderId="20" xfId="18" applyNumberFormat="1" applyFont="1" applyFill="1" applyBorder="1" applyAlignment="1" quotePrefix="1">
      <alignment vertical="center"/>
    </xf>
    <xf numFmtId="164" fontId="12" fillId="3" borderId="31" xfId="18" applyNumberFormat="1" applyFont="1" applyFill="1" applyBorder="1" applyAlignment="1" quotePrefix="1">
      <alignment vertical="center"/>
    </xf>
    <xf numFmtId="164" fontId="12" fillId="3" borderId="10" xfId="18" applyNumberFormat="1" applyFont="1" applyFill="1" applyBorder="1" applyAlignment="1" quotePrefix="1">
      <alignment vertical="center"/>
    </xf>
    <xf numFmtId="164" fontId="12" fillId="0" borderId="31" xfId="18" applyNumberFormat="1" applyFont="1" applyFill="1" applyBorder="1" applyAlignment="1" quotePrefix="1">
      <alignment vertical="center"/>
    </xf>
    <xf numFmtId="164" fontId="12" fillId="0" borderId="10" xfId="18" applyNumberFormat="1" applyFont="1" applyFill="1" applyBorder="1" applyAlignment="1" quotePrefix="1">
      <alignment vertical="center"/>
    </xf>
    <xf numFmtId="0" fontId="0" fillId="0" borderId="0" xfId="0" applyFont="1"/>
    <xf numFmtId="0" fontId="17" fillId="0" borderId="0" xfId="0" applyFont="1" applyBorder="1" applyAlignment="1">
      <alignment horizontal="left"/>
    </xf>
    <xf numFmtId="164" fontId="17" fillId="0" borderId="0" xfId="0" applyNumberFormat="1" applyFont="1" applyBorder="1" applyAlignment="1">
      <alignment horizontal="left"/>
    </xf>
    <xf numFmtId="164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1" fillId="0" borderId="0" xfId="0" applyFont="1" applyFill="1" applyAlignment="1">
      <alignment horizontal="left" wrapText="1"/>
    </xf>
    <xf numFmtId="164" fontId="11" fillId="2" borderId="0" xfId="0" applyNumberFormat="1" applyFont="1" applyFill="1" applyBorder="1" applyAlignment="1">
      <alignment horizontal="centerContinuous"/>
    </xf>
    <xf numFmtId="164" fontId="19" fillId="0" borderId="0" xfId="0" applyNumberFormat="1" applyFont="1" applyBorder="1" applyAlignment="1">
      <alignment horizontal="center"/>
    </xf>
    <xf numFmtId="164" fontId="12" fillId="4" borderId="0" xfId="18" applyNumberFormat="1" applyFont="1" applyFill="1" applyBorder="1" applyAlignment="1" quotePrefix="1">
      <alignment horizontal="right" vertical="center"/>
    </xf>
    <xf numFmtId="37" fontId="10" fillId="0" borderId="0" xfId="20" applyFont="1" applyBorder="1" applyAlignment="1">
      <alignment horizontal="center" wrapText="1"/>
      <protection/>
    </xf>
    <xf numFmtId="37" fontId="12" fillId="0" borderId="0" xfId="20" applyFont="1" applyBorder="1" applyAlignment="1">
      <alignment horizontal="right" wrapText="1"/>
      <protection/>
    </xf>
    <xf numFmtId="0" fontId="16" fillId="2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37"/>
  <sheetViews>
    <sheetView tabSelected="1" zoomScale="75" zoomScaleNormal="75" workbookViewId="0" topLeftCell="A1">
      <selection activeCell="M27" sqref="M27"/>
    </sheetView>
  </sheetViews>
  <sheetFormatPr defaultColWidth="9.140625" defaultRowHeight="12.75"/>
  <cols>
    <col min="1" max="1" width="47.7109375" style="26" customWidth="1"/>
    <col min="2" max="2" width="14.57421875" style="4" customWidth="1"/>
    <col min="3" max="3" width="16.00390625" style="11" customWidth="1"/>
    <col min="4" max="4" width="16.7109375" style="4" customWidth="1"/>
    <col min="5" max="5" width="15.8515625" style="4" customWidth="1"/>
    <col min="6" max="6" width="16.00390625" style="4" customWidth="1"/>
    <col min="7" max="8" width="16.7109375" style="4" customWidth="1"/>
    <col min="9" max="10" width="17.7109375" style="4" customWidth="1"/>
    <col min="11" max="11" width="33.00390625" style="1" customWidth="1"/>
    <col min="12" max="12" width="8.8515625" style="1" customWidth="1"/>
  </cols>
  <sheetData>
    <row r="1" spans="1:24" ht="2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</row>
    <row r="2" spans="1:12" s="1" customFormat="1" ht="19.9" customHeight="1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59"/>
    </row>
    <row r="3" spans="1:12" s="1" customFormat="1" ht="19.9" customHeight="1">
      <c r="A3" s="34" t="s">
        <v>29</v>
      </c>
      <c r="B3" s="35"/>
      <c r="C3" s="35"/>
      <c r="D3" s="162"/>
      <c r="E3" s="162"/>
      <c r="F3" s="35"/>
      <c r="G3" s="35"/>
      <c r="H3" s="35"/>
      <c r="I3" s="35"/>
      <c r="J3" s="35"/>
      <c r="K3" s="35"/>
      <c r="L3" s="59"/>
    </row>
    <row r="4" spans="1:24" s="10" customFormat="1" ht="15.75">
      <c r="A4" s="34" t="s">
        <v>30</v>
      </c>
      <c r="B4" s="36"/>
      <c r="C4" s="36"/>
      <c r="D4" s="35"/>
      <c r="E4" s="132"/>
      <c r="F4" s="36"/>
      <c r="G4" s="36"/>
      <c r="H4" s="36"/>
      <c r="I4" s="36"/>
      <c r="J4" s="36"/>
      <c r="K4" s="37" t="s">
        <v>46</v>
      </c>
      <c r="L4" s="7"/>
      <c r="M4" s="8"/>
      <c r="N4" s="8"/>
      <c r="O4" s="8"/>
      <c r="P4" s="9"/>
      <c r="Q4" s="9"/>
      <c r="R4" s="9"/>
      <c r="S4" s="9"/>
      <c r="T4" s="9"/>
      <c r="U4" s="9"/>
      <c r="V4" s="9"/>
      <c r="W4" s="9"/>
      <c r="X4" s="9"/>
    </row>
    <row r="5" spans="1:24" s="10" customFormat="1" ht="15.75">
      <c r="A5" s="163" t="s">
        <v>52</v>
      </c>
      <c r="B5" s="163"/>
      <c r="C5" s="163"/>
      <c r="D5" s="163"/>
      <c r="E5" s="132"/>
      <c r="F5" s="36"/>
      <c r="G5" s="158"/>
      <c r="H5" s="36"/>
      <c r="I5" s="38"/>
      <c r="J5" s="38"/>
      <c r="K5" s="37" t="s">
        <v>47</v>
      </c>
      <c r="L5" s="7"/>
      <c r="M5" s="8"/>
      <c r="N5" s="8"/>
      <c r="O5" s="8"/>
      <c r="P5" s="9"/>
      <c r="Q5" s="9"/>
      <c r="R5" s="9"/>
      <c r="S5" s="9"/>
      <c r="T5" s="9"/>
      <c r="U5" s="9"/>
      <c r="V5" s="9"/>
      <c r="W5" s="9"/>
      <c r="X5" s="9"/>
    </row>
    <row r="6" spans="1:12" ht="9.6" customHeight="1" thickBot="1">
      <c r="A6" s="39"/>
      <c r="B6" s="40"/>
      <c r="C6" s="41"/>
      <c r="D6" s="43"/>
      <c r="E6" s="42"/>
      <c r="F6" s="43"/>
      <c r="G6" s="43"/>
      <c r="H6" s="43"/>
      <c r="I6" s="43"/>
      <c r="J6" s="43"/>
      <c r="K6" s="44"/>
      <c r="L6" s="12"/>
    </row>
    <row r="7" spans="1:12" s="14" customFormat="1" ht="33" customHeight="1">
      <c r="A7" s="45" t="s">
        <v>1</v>
      </c>
      <c r="B7" s="88" t="s">
        <v>2</v>
      </c>
      <c r="C7" s="89" t="s">
        <v>3</v>
      </c>
      <c r="D7" s="90" t="s">
        <v>4</v>
      </c>
      <c r="E7" s="76" t="s">
        <v>5</v>
      </c>
      <c r="F7" s="76" t="s">
        <v>6</v>
      </c>
      <c r="G7" s="69" t="s">
        <v>7</v>
      </c>
      <c r="H7" s="76" t="s">
        <v>8</v>
      </c>
      <c r="I7" s="120" t="s">
        <v>9</v>
      </c>
      <c r="J7" s="76" t="s">
        <v>10</v>
      </c>
      <c r="K7" s="46" t="s">
        <v>11</v>
      </c>
      <c r="L7" s="13"/>
    </row>
    <row r="8" spans="1:24" s="15" customFormat="1" ht="15.75">
      <c r="A8" s="47" t="s">
        <v>12</v>
      </c>
      <c r="B8" s="91">
        <v>6099549</v>
      </c>
      <c r="C8" s="92">
        <v>5595447</v>
      </c>
      <c r="D8" s="93">
        <f>+C32</f>
        <v>5196766</v>
      </c>
      <c r="E8" s="70">
        <f>B32</f>
        <v>10650418</v>
      </c>
      <c r="F8" s="71">
        <f>+E32</f>
        <v>6409893</v>
      </c>
      <c r="G8" s="70">
        <f>B32</f>
        <v>10650418</v>
      </c>
      <c r="H8" s="71">
        <f>+G32</f>
        <v>6947090</v>
      </c>
      <c r="I8" s="70">
        <f>+G8-C8</f>
        <v>5054971</v>
      </c>
      <c r="J8" s="130">
        <f>+H8-D8</f>
        <v>1750324</v>
      </c>
      <c r="K8" s="121"/>
      <c r="L8" s="60"/>
      <c r="M8" s="61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13" s="18" customFormat="1" ht="15.75">
      <c r="A9" s="48" t="s">
        <v>13</v>
      </c>
      <c r="B9" s="94"/>
      <c r="C9" s="95"/>
      <c r="D9" s="96"/>
      <c r="E9" s="77"/>
      <c r="F9" s="73"/>
      <c r="G9" s="85"/>
      <c r="H9" s="73"/>
      <c r="I9" s="86">
        <f aca="true" t="shared" si="0" ref="I9:I14">+G9-C9</f>
        <v>0</v>
      </c>
      <c r="J9" s="126">
        <f aca="true" t="shared" si="1" ref="J9:J28">H9-D9</f>
        <v>0</v>
      </c>
      <c r="K9" s="122"/>
      <c r="L9" s="16"/>
      <c r="M9" s="17"/>
    </row>
    <row r="10" spans="1:13" s="18" customFormat="1" ht="15.75">
      <c r="A10" s="133" t="s">
        <v>31</v>
      </c>
      <c r="B10" s="94">
        <v>2922144</v>
      </c>
      <c r="C10" s="95">
        <v>2972018</v>
      </c>
      <c r="D10" s="96">
        <v>3025635</v>
      </c>
      <c r="E10" s="72">
        <f>+C10</f>
        <v>2972018</v>
      </c>
      <c r="F10" s="74">
        <f>+D10</f>
        <v>3025635</v>
      </c>
      <c r="G10" s="72">
        <f>2976186-393</f>
        <v>2975793</v>
      </c>
      <c r="H10" s="74">
        <v>3025635</v>
      </c>
      <c r="I10" s="86">
        <f t="shared" si="0"/>
        <v>3775</v>
      </c>
      <c r="J10" s="126">
        <f t="shared" si="1"/>
        <v>0</v>
      </c>
      <c r="K10" s="123"/>
      <c r="L10" s="16"/>
      <c r="M10" s="17"/>
    </row>
    <row r="11" spans="1:13" s="18" customFormat="1" ht="15.75">
      <c r="A11" s="133" t="s">
        <v>32</v>
      </c>
      <c r="B11" s="94">
        <v>2135436</v>
      </c>
      <c r="C11" s="95">
        <v>2591312</v>
      </c>
      <c r="D11" s="96">
        <v>2591312</v>
      </c>
      <c r="E11" s="72">
        <f aca="true" t="shared" si="2" ref="E11:E14">+C11</f>
        <v>2591312</v>
      </c>
      <c r="F11" s="74">
        <f aca="true" t="shared" si="3" ref="F11:F14">+D11</f>
        <v>2591312</v>
      </c>
      <c r="G11" s="72">
        <f>2248580+107330</f>
        <v>2355910</v>
      </c>
      <c r="H11" s="74">
        <f>2591312</f>
        <v>2591312</v>
      </c>
      <c r="I11" s="86">
        <f t="shared" si="0"/>
        <v>-235402</v>
      </c>
      <c r="J11" s="126">
        <f t="shared" si="1"/>
        <v>0</v>
      </c>
      <c r="K11" s="123"/>
      <c r="L11" s="16"/>
      <c r="M11" s="17"/>
    </row>
    <row r="12" spans="1:13" s="18" customFormat="1" ht="15.75">
      <c r="A12" s="133" t="s">
        <v>33</v>
      </c>
      <c r="B12" s="94">
        <v>19748562</v>
      </c>
      <c r="C12" s="95">
        <v>20065338</v>
      </c>
      <c r="D12" s="96">
        <v>20065338</v>
      </c>
      <c r="E12" s="72">
        <f t="shared" si="2"/>
        <v>20065338</v>
      </c>
      <c r="F12" s="74">
        <f t="shared" si="3"/>
        <v>20065338</v>
      </c>
      <c r="G12" s="72">
        <f>17855959+3455847-222621</f>
        <v>21089185</v>
      </c>
      <c r="H12" s="74">
        <f>20065338+2069960+709932-505734</f>
        <v>22339496</v>
      </c>
      <c r="I12" s="86">
        <f t="shared" si="0"/>
        <v>1023847</v>
      </c>
      <c r="J12" s="126">
        <f t="shared" si="1"/>
        <v>2274158</v>
      </c>
      <c r="K12" s="123" t="s">
        <v>55</v>
      </c>
      <c r="L12" s="16"/>
      <c r="M12" s="17"/>
    </row>
    <row r="13" spans="1:13" s="18" customFormat="1" ht="15.75">
      <c r="A13" s="133" t="s">
        <v>34</v>
      </c>
      <c r="B13" s="94">
        <v>1587643</v>
      </c>
      <c r="C13" s="95">
        <v>1462591</v>
      </c>
      <c r="D13" s="96">
        <v>1462591</v>
      </c>
      <c r="E13" s="72">
        <f t="shared" si="2"/>
        <v>1462591</v>
      </c>
      <c r="F13" s="74">
        <f t="shared" si="3"/>
        <v>1462591</v>
      </c>
      <c r="G13" s="72">
        <f>1183924+501288</f>
        <v>1685212</v>
      </c>
      <c r="H13" s="74">
        <f>1462591+149250</f>
        <v>1611841</v>
      </c>
      <c r="I13" s="86">
        <f t="shared" si="0"/>
        <v>222621</v>
      </c>
      <c r="J13" s="126">
        <f t="shared" si="1"/>
        <v>149250</v>
      </c>
      <c r="K13" s="123" t="s">
        <v>56</v>
      </c>
      <c r="L13" s="16"/>
      <c r="M13" s="17"/>
    </row>
    <row r="14" spans="1:13" s="18" customFormat="1" ht="15.75">
      <c r="A14" s="133" t="s">
        <v>35</v>
      </c>
      <c r="B14" s="94">
        <f>-126711</f>
        <v>-126711</v>
      </c>
      <c r="C14" s="95">
        <v>2422</v>
      </c>
      <c r="D14" s="96">
        <v>2422</v>
      </c>
      <c r="E14" s="72">
        <f t="shared" si="2"/>
        <v>2422</v>
      </c>
      <c r="F14" s="74">
        <f t="shared" si="3"/>
        <v>2422</v>
      </c>
      <c r="G14" s="72">
        <f>939-284457-546</f>
        <v>-284064</v>
      </c>
      <c r="H14" s="74">
        <v>2422</v>
      </c>
      <c r="I14" s="86">
        <f t="shared" si="0"/>
        <v>-286486</v>
      </c>
      <c r="J14" s="126">
        <f t="shared" si="1"/>
        <v>0</v>
      </c>
      <c r="K14" s="123"/>
      <c r="L14" s="16"/>
      <c r="M14" s="17"/>
    </row>
    <row r="15" spans="1:13" s="62" customFormat="1" ht="15.75">
      <c r="A15" s="48" t="s">
        <v>14</v>
      </c>
      <c r="B15" s="104">
        <f aca="true" t="shared" si="4" ref="B15:F15">SUM(B10:B14)</f>
        <v>26267074</v>
      </c>
      <c r="C15" s="134">
        <f t="shared" si="4"/>
        <v>27093681</v>
      </c>
      <c r="D15" s="106">
        <f t="shared" si="4"/>
        <v>27147298</v>
      </c>
      <c r="E15" s="135">
        <f t="shared" si="4"/>
        <v>27093681</v>
      </c>
      <c r="F15" s="136">
        <f t="shared" si="4"/>
        <v>27147298</v>
      </c>
      <c r="G15" s="135">
        <f aca="true" t="shared" si="5" ref="G15:H15">SUM(G10:G14)</f>
        <v>27822036</v>
      </c>
      <c r="H15" s="136">
        <f t="shared" si="5"/>
        <v>29570706</v>
      </c>
      <c r="I15" s="137">
        <f>SUM(I9:I14)</f>
        <v>728355</v>
      </c>
      <c r="J15" s="138">
        <f>SUM(J9:J14)</f>
        <v>2423408</v>
      </c>
      <c r="K15" s="139"/>
      <c r="L15" s="60"/>
      <c r="M15" s="61"/>
    </row>
    <row r="16" spans="1:106" s="15" customFormat="1" ht="15.75">
      <c r="A16" s="50" t="s">
        <v>15</v>
      </c>
      <c r="B16" s="97"/>
      <c r="C16" s="111"/>
      <c r="D16" s="110">
        <f>C15+D15</f>
        <v>54240979</v>
      </c>
      <c r="E16" s="113"/>
      <c r="F16" s="112">
        <f>E15+F15</f>
        <v>54240979</v>
      </c>
      <c r="G16" s="113"/>
      <c r="H16" s="112">
        <f>G15+H15</f>
        <v>57392742</v>
      </c>
      <c r="I16" s="113"/>
      <c r="J16" s="112">
        <f>I15+J15</f>
        <v>3151763</v>
      </c>
      <c r="K16" s="124">
        <f>+J16-3151763</f>
        <v>0</v>
      </c>
      <c r="L16" s="60"/>
      <c r="M16" s="61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</row>
    <row r="17" spans="1:13" s="18" customFormat="1" ht="15.75">
      <c r="A17" s="48" t="s">
        <v>16</v>
      </c>
      <c r="B17" s="94"/>
      <c r="C17" s="95"/>
      <c r="D17" s="96"/>
      <c r="E17" s="72"/>
      <c r="F17" s="73"/>
      <c r="G17" s="72"/>
      <c r="H17" s="73"/>
      <c r="I17" s="86">
        <f aca="true" t="shared" si="6" ref="I17:I23">+G17-C17</f>
        <v>0</v>
      </c>
      <c r="J17" s="126">
        <f t="shared" si="1"/>
        <v>0</v>
      </c>
      <c r="K17" s="122"/>
      <c r="L17" s="16"/>
      <c r="M17" s="17"/>
    </row>
    <row r="18" spans="1:13" s="18" customFormat="1" ht="15.75">
      <c r="A18" s="133" t="s">
        <v>36</v>
      </c>
      <c r="B18" s="94">
        <f>-1622604</f>
        <v>-1622604</v>
      </c>
      <c r="C18" s="95">
        <f>-1242976</f>
        <v>-1242976</v>
      </c>
      <c r="D18" s="96">
        <f>-1276854</f>
        <v>-1276854</v>
      </c>
      <c r="E18" s="72">
        <f aca="true" t="shared" si="7" ref="E18:E23">+C18</f>
        <v>-1242976</v>
      </c>
      <c r="F18" s="74">
        <f aca="true" t="shared" si="8" ref="F18:F23">+D18</f>
        <v>-1276854</v>
      </c>
      <c r="G18" s="72">
        <f>-1466647</f>
        <v>-1466647</v>
      </c>
      <c r="H18" s="73">
        <f>+G18</f>
        <v>-1466647</v>
      </c>
      <c r="I18" s="86">
        <f t="shared" si="6"/>
        <v>-223671</v>
      </c>
      <c r="J18" s="126">
        <f aca="true" t="shared" si="9" ref="J18:J23">H18-D18</f>
        <v>-189793</v>
      </c>
      <c r="K18" s="123"/>
      <c r="L18" s="16"/>
      <c r="M18" s="17"/>
    </row>
    <row r="19" spans="1:13" s="18" customFormat="1" ht="15.75">
      <c r="A19" s="133" t="s">
        <v>37</v>
      </c>
      <c r="B19" s="94">
        <f>-18716</f>
        <v>-18716</v>
      </c>
      <c r="C19" s="95">
        <f>-29660</f>
        <v>-29660</v>
      </c>
      <c r="D19" s="96">
        <f>-29660</f>
        <v>-29660</v>
      </c>
      <c r="E19" s="72">
        <f t="shared" si="7"/>
        <v>-29660</v>
      </c>
      <c r="F19" s="74">
        <f t="shared" si="8"/>
        <v>-29660</v>
      </c>
      <c r="G19" s="72">
        <f>-124246-G21</f>
        <v>-23907</v>
      </c>
      <c r="H19" s="73">
        <f>-29660</f>
        <v>-29660</v>
      </c>
      <c r="I19" s="86">
        <f t="shared" si="6"/>
        <v>5753</v>
      </c>
      <c r="J19" s="126">
        <f t="shared" si="9"/>
        <v>0</v>
      </c>
      <c r="K19" s="123"/>
      <c r="L19" s="16"/>
      <c r="M19" s="17"/>
    </row>
    <row r="20" spans="1:13" s="18" customFormat="1" ht="15.75">
      <c r="A20" s="133" t="s">
        <v>38</v>
      </c>
      <c r="B20" s="94">
        <f>-23163345</f>
        <v>-23163345</v>
      </c>
      <c r="C20" s="95">
        <f>-24812285</f>
        <v>-24812285</v>
      </c>
      <c r="D20" s="96">
        <f>-24812129</f>
        <v>-24812129</v>
      </c>
      <c r="E20" s="72">
        <f t="shared" si="7"/>
        <v>-24812285</v>
      </c>
      <c r="F20" s="74">
        <f t="shared" si="8"/>
        <v>-24812129</v>
      </c>
      <c r="G20" s="72">
        <f>-24992846</f>
        <v>-24992846</v>
      </c>
      <c r="H20" s="73">
        <f>-24812129-2220505-782173+240853-99390-99390+120380</f>
        <v>-27652354</v>
      </c>
      <c r="I20" s="86">
        <f t="shared" si="6"/>
        <v>-180561</v>
      </c>
      <c r="J20" s="126">
        <f t="shared" si="9"/>
        <v>-2840225</v>
      </c>
      <c r="K20" s="123" t="s">
        <v>57</v>
      </c>
      <c r="L20" s="16"/>
      <c r="M20" s="17"/>
    </row>
    <row r="21" spans="1:13" s="18" customFormat="1" ht="15.75">
      <c r="A21" s="133" t="s">
        <v>39</v>
      </c>
      <c r="B21" s="94">
        <f>-145505</f>
        <v>-145505</v>
      </c>
      <c r="C21" s="95">
        <f>-275000</f>
        <v>-275000</v>
      </c>
      <c r="D21" s="96">
        <f>-275000</f>
        <v>-275000</v>
      </c>
      <c r="E21" s="72">
        <f t="shared" si="7"/>
        <v>-275000</v>
      </c>
      <c r="F21" s="74">
        <f t="shared" si="8"/>
        <v>-275000</v>
      </c>
      <c r="G21" s="72">
        <f>-100339</f>
        <v>-100339</v>
      </c>
      <c r="H21" s="74">
        <f>+G21</f>
        <v>-100339</v>
      </c>
      <c r="I21" s="86">
        <f t="shared" si="6"/>
        <v>174661</v>
      </c>
      <c r="J21" s="126">
        <f t="shared" si="9"/>
        <v>174661</v>
      </c>
      <c r="K21" s="123"/>
      <c r="L21" s="16"/>
      <c r="M21" s="17"/>
    </row>
    <row r="22" spans="1:13" s="18" customFormat="1" ht="15.75">
      <c r="A22" s="133" t="s">
        <v>40</v>
      </c>
      <c r="B22" s="94">
        <f>-790391</f>
        <v>-790391</v>
      </c>
      <c r="C22" s="95">
        <f>-1104121</f>
        <v>-1104121</v>
      </c>
      <c r="D22" s="96">
        <f>-1143440</f>
        <v>-1143440</v>
      </c>
      <c r="E22" s="72">
        <f t="shared" si="7"/>
        <v>-1104121</v>
      </c>
      <c r="F22" s="74">
        <f t="shared" si="8"/>
        <v>-1143440</v>
      </c>
      <c r="G22" s="72">
        <f>-923961</f>
        <v>-923961</v>
      </c>
      <c r="H22" s="74">
        <f>-1143440</f>
        <v>-1143440</v>
      </c>
      <c r="I22" s="86">
        <f t="shared" si="6"/>
        <v>180160</v>
      </c>
      <c r="J22" s="126">
        <f t="shared" si="9"/>
        <v>0</v>
      </c>
      <c r="K22" s="123"/>
      <c r="L22" s="16"/>
      <c r="M22" s="17"/>
    </row>
    <row r="23" spans="1:13" s="18" customFormat="1" ht="15.75">
      <c r="A23" s="133" t="s">
        <v>41</v>
      </c>
      <c r="B23" s="94">
        <f>-200076</f>
        <v>-200076</v>
      </c>
      <c r="C23" s="95">
        <f>-28320</f>
        <v>-28320</v>
      </c>
      <c r="D23" s="96">
        <f>-70572</f>
        <v>-70572</v>
      </c>
      <c r="E23" s="72">
        <f t="shared" si="7"/>
        <v>-28320</v>
      </c>
      <c r="F23" s="74">
        <f t="shared" si="8"/>
        <v>-70572</v>
      </c>
      <c r="G23" s="72">
        <f>-175820</f>
        <v>-175820</v>
      </c>
      <c r="H23" s="74">
        <f>+G23</f>
        <v>-175820</v>
      </c>
      <c r="I23" s="86">
        <f t="shared" si="6"/>
        <v>-147500</v>
      </c>
      <c r="J23" s="126">
        <f t="shared" si="9"/>
        <v>-105248</v>
      </c>
      <c r="K23" s="123"/>
      <c r="L23" s="16"/>
      <c r="M23" s="17"/>
    </row>
    <row r="24" spans="1:13" s="62" customFormat="1" ht="15.75">
      <c r="A24" s="51" t="s">
        <v>17</v>
      </c>
      <c r="B24" s="140">
        <f aca="true" t="shared" si="10" ref="B24:J24">SUM(B18:B23)</f>
        <v>-25940637</v>
      </c>
      <c r="C24" s="141">
        <f t="shared" si="10"/>
        <v>-27492362</v>
      </c>
      <c r="D24" s="142">
        <f t="shared" si="10"/>
        <v>-27607655</v>
      </c>
      <c r="E24" s="143">
        <f t="shared" si="10"/>
        <v>-27492362</v>
      </c>
      <c r="F24" s="144">
        <f t="shared" si="10"/>
        <v>-27607655</v>
      </c>
      <c r="G24" s="143">
        <f t="shared" si="10"/>
        <v>-27683520</v>
      </c>
      <c r="H24" s="144">
        <f t="shared" si="10"/>
        <v>-30568260</v>
      </c>
      <c r="I24" s="137">
        <f t="shared" si="10"/>
        <v>-191158</v>
      </c>
      <c r="J24" s="138">
        <f t="shared" si="10"/>
        <v>-2960605</v>
      </c>
      <c r="K24" s="139"/>
      <c r="L24" s="60"/>
      <c r="M24" s="61"/>
    </row>
    <row r="25" spans="1:106" s="15" customFormat="1" ht="15.75">
      <c r="A25" s="50" t="s">
        <v>18</v>
      </c>
      <c r="B25" s="97"/>
      <c r="C25" s="111"/>
      <c r="D25" s="110">
        <f>C24+D24</f>
        <v>-55100017</v>
      </c>
      <c r="E25" s="113"/>
      <c r="F25" s="112">
        <f>E24+F24</f>
        <v>-55100017</v>
      </c>
      <c r="G25" s="113"/>
      <c r="H25" s="112">
        <f>G24+H24</f>
        <v>-58251780</v>
      </c>
      <c r="I25" s="131"/>
      <c r="J25" s="127">
        <f>I24+J24</f>
        <v>-3151763</v>
      </c>
      <c r="K25" s="125" t="str">
        <f>+K20</f>
        <v>PM-State/Fed. new money.</v>
      </c>
      <c r="L25" s="60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</row>
    <row r="26" spans="1:13" s="18" customFormat="1" ht="15.75">
      <c r="A26" s="109" t="s">
        <v>19</v>
      </c>
      <c r="B26" s="98"/>
      <c r="C26" s="99"/>
      <c r="D26" s="100"/>
      <c r="E26" s="79"/>
      <c r="F26" s="87"/>
      <c r="G26" s="79"/>
      <c r="H26" s="87"/>
      <c r="I26" s="129"/>
      <c r="J26" s="128"/>
      <c r="K26" s="125"/>
      <c r="L26" s="16"/>
      <c r="M26" s="17"/>
    </row>
    <row r="27" spans="1:13" s="18" customFormat="1" ht="15.75">
      <c r="A27" s="48" t="s">
        <v>20</v>
      </c>
      <c r="B27" s="101"/>
      <c r="C27" s="95"/>
      <c r="D27" s="102"/>
      <c r="E27" s="72"/>
      <c r="F27" s="74"/>
      <c r="G27" s="72"/>
      <c r="H27" s="74"/>
      <c r="I27" s="86">
        <f aca="true" t="shared" si="11" ref="I27:I28">+G27-C27</f>
        <v>0</v>
      </c>
      <c r="J27" s="126">
        <f t="shared" si="1"/>
        <v>0</v>
      </c>
      <c r="K27" s="122"/>
      <c r="L27" s="16"/>
      <c r="M27" s="17"/>
    </row>
    <row r="28" spans="1:13" s="18" customFormat="1" ht="15.75">
      <c r="A28" s="49" t="s">
        <v>49</v>
      </c>
      <c r="B28" s="101">
        <v>4224281</v>
      </c>
      <c r="C28" s="95">
        <f>-3841844*0</f>
        <v>0</v>
      </c>
      <c r="D28" s="96">
        <f>-382437*0</f>
        <v>0</v>
      </c>
      <c r="E28" s="72">
        <f>-3841844</f>
        <v>-3841844</v>
      </c>
      <c r="F28" s="74">
        <f>-B28-E28</f>
        <v>-382437</v>
      </c>
      <c r="G28" s="72">
        <f>+E28</f>
        <v>-3841844</v>
      </c>
      <c r="H28" s="74">
        <f>+F28</f>
        <v>-382437</v>
      </c>
      <c r="I28" s="86">
        <f t="shared" si="11"/>
        <v>-3841844</v>
      </c>
      <c r="J28" s="126">
        <f t="shared" si="1"/>
        <v>-382437</v>
      </c>
      <c r="K28" s="123"/>
      <c r="L28" s="16"/>
      <c r="M28" s="17"/>
    </row>
    <row r="29" spans="1:13" s="18" customFormat="1" ht="15.75">
      <c r="A29" s="49" t="s">
        <v>53</v>
      </c>
      <c r="B29" s="101">
        <v>151</v>
      </c>
      <c r="C29" s="95">
        <f>151*0</f>
        <v>0</v>
      </c>
      <c r="D29" s="96"/>
      <c r="E29" s="72">
        <f>+C29</f>
        <v>0</v>
      </c>
      <c r="F29" s="74">
        <v>0</v>
      </c>
      <c r="G29" s="72">
        <f>+E29</f>
        <v>0</v>
      </c>
      <c r="H29" s="74"/>
      <c r="I29" s="86">
        <f aca="true" t="shared" si="12" ref="I29">+G29-C29</f>
        <v>0</v>
      </c>
      <c r="J29" s="126">
        <f aca="true" t="shared" si="13" ref="J29">H29-D29</f>
        <v>0</v>
      </c>
      <c r="K29" s="123" t="s">
        <v>54</v>
      </c>
      <c r="L29" s="16"/>
      <c r="M29" s="17"/>
    </row>
    <row r="30" spans="1:13" s="62" customFormat="1" ht="15.75">
      <c r="A30" s="48" t="s">
        <v>21</v>
      </c>
      <c r="B30" s="145">
        <f aca="true" t="shared" si="14" ref="B30:J30">SUM(B28:B29)</f>
        <v>4224432</v>
      </c>
      <c r="C30" s="146">
        <f t="shared" si="14"/>
        <v>0</v>
      </c>
      <c r="D30" s="147">
        <f t="shared" si="14"/>
        <v>0</v>
      </c>
      <c r="E30" s="148">
        <f t="shared" si="14"/>
        <v>-3841844</v>
      </c>
      <c r="F30" s="149">
        <f t="shared" si="14"/>
        <v>-382437</v>
      </c>
      <c r="G30" s="148">
        <f t="shared" si="14"/>
        <v>-3841844</v>
      </c>
      <c r="H30" s="149">
        <f t="shared" si="14"/>
        <v>-382437</v>
      </c>
      <c r="I30" s="148">
        <f t="shared" si="14"/>
        <v>-3841844</v>
      </c>
      <c r="J30" s="149">
        <f t="shared" si="14"/>
        <v>-382437</v>
      </c>
      <c r="K30" s="139"/>
      <c r="L30" s="60"/>
      <c r="M30" s="61"/>
    </row>
    <row r="31" spans="1:13" s="18" customFormat="1" ht="15.75">
      <c r="A31" s="116" t="s">
        <v>22</v>
      </c>
      <c r="B31" s="117"/>
      <c r="C31" s="118"/>
      <c r="D31" s="110">
        <f>C30+D30</f>
        <v>0</v>
      </c>
      <c r="E31" s="119"/>
      <c r="F31" s="112">
        <f>E30+F30</f>
        <v>-4224281</v>
      </c>
      <c r="G31" s="119"/>
      <c r="H31" s="112">
        <f>G30+H30</f>
        <v>-4224281</v>
      </c>
      <c r="I31" s="119"/>
      <c r="J31" s="112">
        <f>I30+J30</f>
        <v>-4224281</v>
      </c>
      <c r="K31" s="122"/>
      <c r="L31" s="16"/>
      <c r="M31" s="17"/>
    </row>
    <row r="32" spans="1:106" s="20" customFormat="1" ht="15.75">
      <c r="A32" s="50" t="s">
        <v>23</v>
      </c>
      <c r="B32" s="98">
        <f aca="true" t="shared" si="15" ref="B32:J32">+B8+B15+B24+B26+B30</f>
        <v>10650418</v>
      </c>
      <c r="C32" s="114">
        <f t="shared" si="15"/>
        <v>5196766</v>
      </c>
      <c r="D32" s="103">
        <f t="shared" si="15"/>
        <v>4736409</v>
      </c>
      <c r="E32" s="115">
        <f t="shared" si="15"/>
        <v>6409893</v>
      </c>
      <c r="F32" s="80">
        <f t="shared" si="15"/>
        <v>5567099</v>
      </c>
      <c r="G32" s="115">
        <f t="shared" si="15"/>
        <v>6947090</v>
      </c>
      <c r="H32" s="80">
        <f t="shared" si="15"/>
        <v>5567099</v>
      </c>
      <c r="I32" s="115">
        <f t="shared" si="15"/>
        <v>1750324</v>
      </c>
      <c r="J32" s="80">
        <f t="shared" si="15"/>
        <v>830690</v>
      </c>
      <c r="K32" s="125"/>
      <c r="L32" s="16"/>
      <c r="M32" s="16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</row>
    <row r="33" spans="1:13" s="18" customFormat="1" ht="15.75">
      <c r="A33" s="48" t="s">
        <v>24</v>
      </c>
      <c r="B33" s="94"/>
      <c r="C33" s="95"/>
      <c r="D33" s="96"/>
      <c r="E33" s="72"/>
      <c r="F33" s="82"/>
      <c r="G33" s="77"/>
      <c r="H33" s="82"/>
      <c r="I33" s="86"/>
      <c r="J33" s="126"/>
      <c r="K33" s="122"/>
      <c r="L33" s="21"/>
      <c r="M33" s="17"/>
    </row>
    <row r="34" spans="1:13" s="18" customFormat="1" ht="15.75">
      <c r="A34" s="49" t="s">
        <v>25</v>
      </c>
      <c r="B34" s="94"/>
      <c r="C34" s="95"/>
      <c r="D34" s="96"/>
      <c r="E34" s="72"/>
      <c r="F34" s="82"/>
      <c r="G34" s="72"/>
      <c r="H34" s="82"/>
      <c r="I34" s="86"/>
      <c r="J34" s="126"/>
      <c r="K34" s="123"/>
      <c r="L34" s="21"/>
      <c r="M34" s="17"/>
    </row>
    <row r="35" spans="1:13" s="18" customFormat="1" ht="18">
      <c r="A35" s="49" t="s">
        <v>43</v>
      </c>
      <c r="B35" s="94"/>
      <c r="C35" s="95">
        <f aca="true" t="shared" si="16" ref="C35:H35">ROUND(C24/365*45,0)</f>
        <v>-3389469</v>
      </c>
      <c r="D35" s="96">
        <f t="shared" si="16"/>
        <v>-3403683</v>
      </c>
      <c r="E35" s="72">
        <f t="shared" si="16"/>
        <v>-3389469</v>
      </c>
      <c r="F35" s="82">
        <f t="shared" si="16"/>
        <v>-3403683</v>
      </c>
      <c r="G35" s="72">
        <f t="shared" si="16"/>
        <v>-3413037</v>
      </c>
      <c r="H35" s="82">
        <f t="shared" si="16"/>
        <v>-3768690</v>
      </c>
      <c r="I35" s="86">
        <f aca="true" t="shared" si="17" ref="I35">+G35-C35</f>
        <v>-23568</v>
      </c>
      <c r="J35" s="126">
        <f aca="true" t="shared" si="18" ref="J35">H35-D35</f>
        <v>-365007</v>
      </c>
      <c r="K35" s="123"/>
      <c r="L35" s="21"/>
      <c r="M35" s="17"/>
    </row>
    <row r="36" spans="1:13" s="18" customFormat="1" ht="15.75">
      <c r="A36" s="49"/>
      <c r="B36" s="94"/>
      <c r="C36" s="95"/>
      <c r="D36" s="96"/>
      <c r="E36" s="72"/>
      <c r="F36" s="82"/>
      <c r="G36" s="72"/>
      <c r="H36" s="82"/>
      <c r="I36" s="72"/>
      <c r="J36" s="82"/>
      <c r="K36" s="123"/>
      <c r="L36" s="21"/>
      <c r="M36" s="17"/>
    </row>
    <row r="37" spans="1:13" s="15" customFormat="1" ht="15.75">
      <c r="A37" s="49" t="s">
        <v>26</v>
      </c>
      <c r="B37" s="104"/>
      <c r="C37" s="105"/>
      <c r="D37" s="106"/>
      <c r="E37" s="81"/>
      <c r="F37" s="83"/>
      <c r="G37" s="78"/>
      <c r="H37" s="83"/>
      <c r="I37" s="78"/>
      <c r="J37" s="83"/>
      <c r="K37" s="123"/>
      <c r="L37" s="63"/>
      <c r="M37" s="61"/>
    </row>
    <row r="38" spans="1:13" s="15" customFormat="1" ht="16.5" customHeight="1" thickBot="1">
      <c r="A38" s="50" t="s">
        <v>27</v>
      </c>
      <c r="B38" s="97">
        <f>SUM(B32:B37)</f>
        <v>10650418</v>
      </c>
      <c r="C38" s="107">
        <f>SUM(C32:C37)</f>
        <v>1807297</v>
      </c>
      <c r="D38" s="108">
        <f>SUM(D32:D37)</f>
        <v>1332726</v>
      </c>
      <c r="E38" s="75">
        <f>SUM(E32:E37)</f>
        <v>3020424</v>
      </c>
      <c r="F38" s="84">
        <f>SUM(F32:F37)</f>
        <v>2163416</v>
      </c>
      <c r="G38" s="75">
        <f>+G32+G37</f>
        <v>6947090</v>
      </c>
      <c r="H38" s="84">
        <f>SUM(H32:H37)</f>
        <v>1798409</v>
      </c>
      <c r="I38" s="75">
        <f>+I32+I37</f>
        <v>1750324</v>
      </c>
      <c r="J38" s="84">
        <f>SUM(J32:J37)</f>
        <v>465683</v>
      </c>
      <c r="K38" s="125"/>
      <c r="L38" s="60"/>
      <c r="M38" s="61"/>
    </row>
    <row r="39" spans="1:13" s="15" customFormat="1" ht="16.5" customHeight="1">
      <c r="A39" s="66" t="s">
        <v>42</v>
      </c>
      <c r="B39" s="52">
        <f>+B15+B24</f>
        <v>326437</v>
      </c>
      <c r="C39" s="52">
        <f aca="true" t="shared" si="19" ref="C39:H39">+C15+C24</f>
        <v>-398681</v>
      </c>
      <c r="D39" s="52">
        <f t="shared" si="19"/>
        <v>-460357</v>
      </c>
      <c r="E39" s="52">
        <f t="shared" si="19"/>
        <v>-398681</v>
      </c>
      <c r="F39" s="52">
        <f t="shared" si="19"/>
        <v>-460357</v>
      </c>
      <c r="G39" s="52">
        <f t="shared" si="19"/>
        <v>138516</v>
      </c>
      <c r="H39" s="52">
        <f t="shared" si="19"/>
        <v>-997554</v>
      </c>
      <c r="I39" s="52">
        <f aca="true" t="shared" si="20" ref="I39:J39">+I15+I24</f>
        <v>537197</v>
      </c>
      <c r="J39" s="52">
        <f t="shared" si="20"/>
        <v>-537197</v>
      </c>
      <c r="K39" s="68"/>
      <c r="L39" s="60"/>
      <c r="M39" s="61"/>
    </row>
    <row r="40" spans="1:13" s="15" customFormat="1" ht="16.5" customHeight="1">
      <c r="A40" s="66"/>
      <c r="B40" s="52"/>
      <c r="C40" s="52"/>
      <c r="D40" s="52"/>
      <c r="E40" s="52"/>
      <c r="F40" s="52"/>
      <c r="G40" s="52"/>
      <c r="H40" s="160"/>
      <c r="I40" s="67"/>
      <c r="J40" s="67"/>
      <c r="K40" s="68"/>
      <c r="L40" s="60"/>
      <c r="M40" s="61"/>
    </row>
    <row r="41" spans="1:12" s="23" customFormat="1" ht="16.15" customHeight="1">
      <c r="A41" s="53" t="s">
        <v>28</v>
      </c>
      <c r="B41" s="54"/>
      <c r="C41" s="55"/>
      <c r="D41" s="54"/>
      <c r="E41" s="54"/>
      <c r="F41" s="54"/>
      <c r="G41" s="54"/>
      <c r="H41" s="54"/>
      <c r="I41" s="56"/>
      <c r="J41" s="56"/>
      <c r="K41" s="54"/>
      <c r="L41" s="22"/>
    </row>
    <row r="42" spans="1:15" s="150" customFormat="1" ht="18" customHeight="1">
      <c r="A42" s="64" t="s">
        <v>45</v>
      </c>
      <c r="B42" s="65"/>
      <c r="C42" s="151"/>
      <c r="D42" s="152"/>
      <c r="E42" s="152"/>
      <c r="F42" s="152"/>
      <c r="G42" s="152"/>
      <c r="H42" s="153"/>
      <c r="I42" s="153"/>
      <c r="J42" s="153"/>
      <c r="K42" s="153"/>
      <c r="L42" s="153"/>
      <c r="M42" s="153"/>
      <c r="N42" s="153"/>
      <c r="O42" s="154"/>
    </row>
    <row r="43" spans="1:15" ht="18">
      <c r="A43" s="58" t="s">
        <v>44</v>
      </c>
      <c r="B43" s="44"/>
      <c r="C43" s="151"/>
      <c r="D43" s="151"/>
      <c r="E43" s="151"/>
      <c r="F43" s="154"/>
      <c r="G43" s="155"/>
      <c r="H43" s="156"/>
      <c r="I43" s="156"/>
      <c r="J43" s="154"/>
      <c r="K43" s="154"/>
      <c r="L43" s="154"/>
      <c r="M43" s="154"/>
      <c r="N43" s="154"/>
      <c r="O43" s="154"/>
    </row>
    <row r="44" spans="1:12" s="23" customFormat="1" ht="16.15" customHeight="1">
      <c r="A44" s="57" t="s">
        <v>50</v>
      </c>
      <c r="B44" s="54"/>
      <c r="C44" s="55"/>
      <c r="D44" s="54"/>
      <c r="E44" s="54"/>
      <c r="F44" s="54"/>
      <c r="G44" s="54"/>
      <c r="H44" s="54"/>
      <c r="I44" s="54"/>
      <c r="J44" s="54"/>
      <c r="K44" s="42"/>
      <c r="L44" s="24"/>
    </row>
    <row r="45" spans="1:12" s="18" customFormat="1" ht="16.15" customHeight="1">
      <c r="A45" s="56" t="s">
        <v>51</v>
      </c>
      <c r="B45" s="31"/>
      <c r="C45" s="32"/>
      <c r="D45" s="33"/>
      <c r="E45" s="31"/>
      <c r="F45" s="33"/>
      <c r="G45" s="33"/>
      <c r="H45" s="33"/>
      <c r="I45" s="33"/>
      <c r="J45" s="33"/>
      <c r="K45" s="33"/>
      <c r="L45" s="25"/>
    </row>
    <row r="46" s="164" customFormat="1" ht="17.1" customHeight="1">
      <c r="A46" s="164" t="s">
        <v>48</v>
      </c>
    </row>
    <row r="47" s="157" customFormat="1" ht="17.1" customHeight="1"/>
    <row r="48" spans="2:12" ht="15.75">
      <c r="B48" s="27"/>
      <c r="C48" s="28"/>
      <c r="D48" s="27"/>
      <c r="E48" s="27"/>
      <c r="F48" s="159"/>
      <c r="G48" s="159"/>
      <c r="H48" s="27"/>
      <c r="I48" s="27"/>
      <c r="J48" s="27"/>
      <c r="K48" s="29"/>
      <c r="L48" s="30"/>
    </row>
    <row r="49" spans="6:11" ht="15.75">
      <c r="F49" s="159"/>
      <c r="G49" s="159"/>
      <c r="K49" s="29"/>
    </row>
    <row r="50" spans="6:11" ht="15.75">
      <c r="F50" s="159"/>
      <c r="G50" s="159"/>
      <c r="K50" s="29"/>
    </row>
    <row r="51" spans="6:11" ht="15.75">
      <c r="F51" s="159"/>
      <c r="G51" s="159"/>
      <c r="K51" s="29"/>
    </row>
    <row r="52" spans="6:11" ht="15">
      <c r="F52" s="27"/>
      <c r="G52" s="27"/>
      <c r="K52" s="29"/>
    </row>
    <row r="53" ht="12.75">
      <c r="K53" s="29"/>
    </row>
    <row r="54" ht="12.75">
      <c r="K54" s="29"/>
    </row>
    <row r="55" ht="12.75">
      <c r="K55" s="29"/>
    </row>
    <row r="56" ht="12.75">
      <c r="K56" s="29"/>
    </row>
    <row r="57" ht="12.75">
      <c r="K57" s="29"/>
    </row>
    <row r="58" ht="12.75">
      <c r="K58" s="29"/>
    </row>
    <row r="59" ht="12.75">
      <c r="K59" s="29"/>
    </row>
    <row r="60" ht="12.75">
      <c r="K60" s="29"/>
    </row>
    <row r="61" ht="12.75">
      <c r="K61" s="29"/>
    </row>
    <row r="62" ht="12.75">
      <c r="K62" s="29"/>
    </row>
    <row r="63" ht="12.75">
      <c r="K63" s="29"/>
    </row>
    <row r="64" ht="12.75">
      <c r="K64" s="29"/>
    </row>
    <row r="65" ht="12.75">
      <c r="K65" s="29"/>
    </row>
    <row r="66" ht="12.75">
      <c r="K66" s="29"/>
    </row>
    <row r="67" ht="12.75">
      <c r="K67" s="29"/>
    </row>
    <row r="68" ht="12.75">
      <c r="K68" s="29"/>
    </row>
    <row r="69" ht="12.75">
      <c r="K69" s="29"/>
    </row>
    <row r="70" ht="12.75">
      <c r="K70" s="29"/>
    </row>
    <row r="71" ht="12.75">
      <c r="K71" s="29"/>
    </row>
    <row r="72" ht="12.75">
      <c r="K72" s="29"/>
    </row>
    <row r="73" ht="12.75">
      <c r="K73" s="29"/>
    </row>
    <row r="74" ht="12.75">
      <c r="K74" s="29"/>
    </row>
    <row r="75" ht="12.75">
      <c r="K75" s="29"/>
    </row>
    <row r="76" ht="12.75">
      <c r="K76" s="29"/>
    </row>
    <row r="77" ht="12.75">
      <c r="K77" s="29"/>
    </row>
    <row r="78" ht="12.75">
      <c r="K78" s="29"/>
    </row>
    <row r="79" ht="12.75">
      <c r="K79" s="29"/>
    </row>
    <row r="80" ht="12.75">
      <c r="K80" s="29"/>
    </row>
    <row r="81" ht="12.75">
      <c r="K81" s="29"/>
    </row>
    <row r="82" ht="12.75">
      <c r="K82" s="29"/>
    </row>
    <row r="83" ht="12.75">
      <c r="K83" s="29"/>
    </row>
    <row r="84" ht="12.75">
      <c r="K84" s="29"/>
    </row>
    <row r="85" ht="12.75">
      <c r="K85" s="29"/>
    </row>
    <row r="86" ht="12.75">
      <c r="K86" s="29"/>
    </row>
    <row r="87" ht="12.75">
      <c r="K87" s="29"/>
    </row>
    <row r="88" ht="12.75">
      <c r="K88" s="29"/>
    </row>
    <row r="89" ht="12.75">
      <c r="K89" s="29"/>
    </row>
    <row r="90" ht="12.75">
      <c r="K90" s="29"/>
    </row>
    <row r="91" ht="12.75">
      <c r="K91" s="29"/>
    </row>
    <row r="92" ht="12.75">
      <c r="K92" s="29"/>
    </row>
    <row r="93" ht="12.75">
      <c r="K93" s="29"/>
    </row>
    <row r="94" ht="12.75">
      <c r="K94" s="29"/>
    </row>
    <row r="95" ht="12.75">
      <c r="K95" s="29"/>
    </row>
    <row r="96" ht="12.75">
      <c r="K96" s="29"/>
    </row>
    <row r="97" ht="12.75">
      <c r="K97" s="29"/>
    </row>
    <row r="98" ht="12.75">
      <c r="K98" s="29"/>
    </row>
    <row r="99" ht="12.75">
      <c r="K99" s="29"/>
    </row>
    <row r="100" ht="12.75">
      <c r="K100" s="29"/>
    </row>
    <row r="101" ht="12.75">
      <c r="K101" s="29"/>
    </row>
    <row r="102" ht="12.75">
      <c r="K102" s="29"/>
    </row>
    <row r="103" ht="12.75">
      <c r="K103" s="29"/>
    </row>
    <row r="104" ht="12.75">
      <c r="K104" s="29"/>
    </row>
    <row r="105" ht="12.75">
      <c r="K105" s="29"/>
    </row>
    <row r="106" ht="12.75">
      <c r="K106" s="29"/>
    </row>
    <row r="107" ht="12.75">
      <c r="K107" s="29"/>
    </row>
    <row r="108" ht="12.75">
      <c r="K108" s="29"/>
    </row>
    <row r="109" ht="12.75">
      <c r="K109" s="29"/>
    </row>
    <row r="110" ht="12.75">
      <c r="K110" s="29"/>
    </row>
    <row r="111" ht="12.75">
      <c r="K111" s="29"/>
    </row>
    <row r="112" ht="12.75">
      <c r="K112" s="29"/>
    </row>
    <row r="113" ht="12.75">
      <c r="K113" s="29"/>
    </row>
    <row r="114" ht="12.75">
      <c r="K114" s="29"/>
    </row>
    <row r="115" ht="12.75">
      <c r="K115" s="29"/>
    </row>
    <row r="116" ht="12.75">
      <c r="K116" s="29"/>
    </row>
    <row r="117" ht="12.75">
      <c r="K117" s="29"/>
    </row>
    <row r="118" ht="12.75">
      <c r="K118" s="29"/>
    </row>
    <row r="119" ht="12.75">
      <c r="K119" s="29"/>
    </row>
    <row r="120" ht="12.75">
      <c r="K120" s="29"/>
    </row>
    <row r="121" ht="12.75">
      <c r="K121" s="29"/>
    </row>
    <row r="122" ht="12.75">
      <c r="K122" s="29"/>
    </row>
    <row r="123" ht="12.75">
      <c r="K123" s="29"/>
    </row>
    <row r="124" ht="12.75">
      <c r="K124" s="29"/>
    </row>
    <row r="125" ht="12.75">
      <c r="K125" s="29"/>
    </row>
    <row r="126" ht="12.75">
      <c r="K126" s="29"/>
    </row>
    <row r="127" ht="12.75">
      <c r="K127" s="29"/>
    </row>
    <row r="128" ht="12.75">
      <c r="K128" s="29"/>
    </row>
    <row r="129" ht="12.75">
      <c r="K129" s="29"/>
    </row>
    <row r="130" ht="12.75">
      <c r="K130" s="29"/>
    </row>
    <row r="131" ht="12.75">
      <c r="K131" s="29"/>
    </row>
    <row r="132" ht="12.75">
      <c r="K132" s="29"/>
    </row>
    <row r="133" ht="12.75">
      <c r="K133" s="29"/>
    </row>
    <row r="134" ht="12.75">
      <c r="K134" s="29"/>
    </row>
    <row r="135" ht="12.75">
      <c r="K135" s="29"/>
    </row>
    <row r="136" ht="12.75">
      <c r="K136" s="29"/>
    </row>
    <row r="137" ht="12.75">
      <c r="K137" s="29"/>
    </row>
  </sheetData>
  <mergeCells count="4">
    <mergeCell ref="A2:K2"/>
    <mergeCell ref="D3:E3"/>
    <mergeCell ref="A5:D5"/>
    <mergeCell ref="A46:XFD46"/>
  </mergeCells>
  <printOptions horizontalCentered="1"/>
  <pageMargins left="0" right="0" top="0.5" bottom="0.5" header="0.25" footer="0.25"/>
  <pageSetup fitToHeight="1" fitToWidth="1" horizontalDpi="600" verticalDpi="600" orientation="landscape" scale="60" r:id="rId1"/>
  <headerFooter alignWithMargins="0">
    <oddFooter>&amp;C&amp;Z&amp;F     &amp;A     &amp;D     &amp;T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C5CAEE25D09B4F829B76E26E654F0D" ma:contentTypeVersion="2" ma:contentTypeDescription="Create a new document." ma:contentTypeScope="" ma:versionID="50f15482bd5be75190958f5cbd148c66">
  <xsd:schema xmlns:xsd="http://www.w3.org/2001/XMLSchema" xmlns:xs="http://www.w3.org/2001/XMLSchema" xmlns:p="http://schemas.microsoft.com/office/2006/metadata/properties" xmlns:ns2="03b56a23-12b6-478f-939b-a8431911d5e0" xmlns:ns3="760cdf93-adc7-407d-99de-cff9d0e01238" targetNamespace="http://schemas.microsoft.com/office/2006/metadata/properties" ma:root="true" ma:fieldsID="ae89e896a69c961e7b9fe077186cd1b4" ns2:_="" ns3:_="">
    <xsd:import namespace="03b56a23-12b6-478f-939b-a8431911d5e0"/>
    <xsd:import namespace="760cdf93-adc7-407d-99de-cff9d0e01238"/>
    <xsd:element name="properties">
      <xsd:complexType>
        <xsd:sequence>
          <xsd:element name="documentManagement">
            <xsd:complexType>
              <xsd:all>
                <xsd:element ref="ns2:Main_x0020_Folder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b56a23-12b6-478f-939b-a8431911d5e0" elementFormDefault="qualified">
    <xsd:import namespace="http://schemas.microsoft.com/office/2006/documentManagement/types"/>
    <xsd:import namespace="http://schemas.microsoft.com/office/infopath/2007/PartnerControls"/>
    <xsd:element name="Main_x0020_Folder" ma:index="8" ma:displayName="Main Folder" ma:description="Assign this document to a Main Folder." ma:format="RadioButtons" ma:internalName="Main_x0020_Folder">
      <xsd:simpleType>
        <xsd:restriction base="dms:Choice">
          <xsd:enumeration value="Omnibus / Supplementals"/>
          <xsd:enumeration value="Financial Monitoring"/>
          <xsd:enumeration value="Budget Revisions / Ordinance Log"/>
          <xsd:enumeration value="Budget Enc Carryover / Reappropriation Reques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in_x0020_Folder xmlns="03b56a23-12b6-478f-939b-a8431911d5e0">Omnibus / Supplementals</Main_x0020_Folder>
  </documentManagement>
</p:properties>
</file>

<file path=customXml/itemProps1.xml><?xml version="1.0" encoding="utf-8"?>
<ds:datastoreItem xmlns:ds="http://schemas.openxmlformats.org/officeDocument/2006/customXml" ds:itemID="{F2965202-298F-4AC7-AD49-355EA5081E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b56a23-12b6-478f-939b-a8431911d5e0"/>
    <ds:schemaRef ds:uri="760cdf93-adc7-407d-99de-cff9d0e01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74585D-0746-4EA6-98EF-3F5F8BD917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E345E8-4768-47C4-82F7-3AE9F3659B65}">
  <ds:schemaRefs>
    <ds:schemaRef ds:uri="http://purl.org/dc/elements/1.1/"/>
    <ds:schemaRef ds:uri="760cdf93-adc7-407d-99de-cff9d0e01238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3b56a23-12b6-478f-939b-a8431911d5e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Jim Walsh</cp:lastModifiedBy>
  <cp:lastPrinted>2014-05-20T21:40:42Z</cp:lastPrinted>
  <dcterms:created xsi:type="dcterms:W3CDTF">2006-04-10T21:55:54Z</dcterms:created>
  <dcterms:modified xsi:type="dcterms:W3CDTF">2014-05-20T21:56:27Z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0x01010014C5CAEE25D09B4F829B76E26E654F0D</vt:lpwstr>
  </property>
</Properties>
</file>