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041" yWindow="3255" windowWidth="20490" windowHeight="7755" tabRatio="564" activeTab="0"/>
  </bookViews>
  <sheets>
    <sheet name="Operating Financial Plan"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Plan'!$A$1:$R$52</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sharedStrings.xml><?xml version="1.0" encoding="utf-8"?>
<sst xmlns="http://schemas.openxmlformats.org/spreadsheetml/2006/main" count="61" uniqueCount="61">
  <si>
    <t>HIDDEN COLUMNS - for PSB Variance Analysis</t>
  </si>
  <si>
    <t>Category</t>
  </si>
  <si>
    <r>
      <t>2013-2014 Actuals</t>
    </r>
    <r>
      <rPr>
        <b/>
        <vertAlign val="superscript"/>
        <sz val="12"/>
        <rFont val="Calibri"/>
        <family val="2"/>
        <scheme val="minor"/>
      </rPr>
      <t>1</t>
    </r>
  </si>
  <si>
    <r>
      <t>2015-2016 Adopted Budget</t>
    </r>
    <r>
      <rPr>
        <b/>
        <vertAlign val="superscript"/>
        <sz val="12"/>
        <rFont val="Calibri"/>
        <family val="2"/>
        <scheme val="minor"/>
      </rPr>
      <t>2</t>
    </r>
  </si>
  <si>
    <r>
      <t>2015-2016 Current Budget</t>
    </r>
    <r>
      <rPr>
        <b/>
        <vertAlign val="superscript"/>
        <sz val="12"/>
        <rFont val="Calibri"/>
        <family val="2"/>
        <scheme val="minor"/>
      </rPr>
      <t>3</t>
    </r>
  </si>
  <si>
    <r>
      <t>2015-2016 Biennial-to-Date Actuals</t>
    </r>
    <r>
      <rPr>
        <b/>
        <vertAlign val="superscript"/>
        <sz val="12"/>
        <rFont val="Calibri"/>
        <family val="2"/>
        <scheme val="minor"/>
      </rPr>
      <t>4</t>
    </r>
  </si>
  <si>
    <r>
      <t>2015-2016 Estimated</t>
    </r>
    <r>
      <rPr>
        <b/>
        <vertAlign val="superscript"/>
        <sz val="12"/>
        <rFont val="Calibri"/>
        <family val="2"/>
        <scheme val="minor"/>
      </rPr>
      <t>5</t>
    </r>
  </si>
  <si>
    <r>
      <t>2017-2018 
Adopted</t>
    </r>
    <r>
      <rPr>
        <b/>
        <vertAlign val="superscript"/>
        <sz val="12"/>
        <rFont val="Calibri"/>
        <family val="2"/>
        <scheme val="minor"/>
      </rPr>
      <t>6</t>
    </r>
  </si>
  <si>
    <r>
      <t>2019-2020 Projected</t>
    </r>
    <r>
      <rPr>
        <b/>
        <vertAlign val="superscript"/>
        <sz val="12"/>
        <rFont val="Calibri"/>
        <family val="2"/>
        <scheme val="minor"/>
      </rPr>
      <t>6</t>
    </r>
  </si>
  <si>
    <t>Diff: Actuals to Current Budget</t>
  </si>
  <si>
    <t>BTD Actuals as Percent of Current Budget</t>
  </si>
  <si>
    <t>Diff: Estimated to Current Budget</t>
  </si>
  <si>
    <t>Estimated as Percent of Current Budget</t>
  </si>
  <si>
    <t xml:space="preserve">Beginning Fund Balance </t>
  </si>
  <si>
    <t>Revenues</t>
  </si>
  <si>
    <t>Total Revenues</t>
  </si>
  <si>
    <t xml:space="preserve">Expenditures </t>
  </si>
  <si>
    <t>Total Expenditures</t>
  </si>
  <si>
    <r>
      <t>Estimated Underexpenditures</t>
    </r>
    <r>
      <rPr>
        <b/>
        <vertAlign val="superscript"/>
        <sz val="12"/>
        <rFont val="Calibri"/>
        <family val="2"/>
        <scheme val="minor"/>
      </rPr>
      <t xml:space="preserve"> </t>
    </r>
  </si>
  <si>
    <t>Total Other Fund Transactions</t>
  </si>
  <si>
    <t>Ending Fund Balance</t>
  </si>
  <si>
    <t xml:space="preserve">Cash Flow Reserve(s) </t>
  </si>
  <si>
    <t>Total Reserves</t>
  </si>
  <si>
    <t xml:space="preserve">Reserve Shortfall </t>
  </si>
  <si>
    <t>Ending Undesignated Fund Balance</t>
  </si>
  <si>
    <t>Pet Licensing Revenue</t>
  </si>
  <si>
    <t>Animal Business Licensing</t>
  </si>
  <si>
    <t>Pet Licensing Late Fees</t>
  </si>
  <si>
    <t>Civil Penalties/Pet License Fines</t>
  </si>
  <si>
    <t>Animal Adoption Fees</t>
  </si>
  <si>
    <t>City Reimbursement for RASKC Services</t>
  </si>
  <si>
    <t>City Rebate</t>
  </si>
  <si>
    <t>Other Misc. Fees</t>
  </si>
  <si>
    <t>Other Financing Sources (General Fund Transfer)</t>
  </si>
  <si>
    <t>Contribution Animal Bequest Fund (Donations)</t>
  </si>
  <si>
    <t>Wages, Benefits and Retirement</t>
  </si>
  <si>
    <t>Capital</t>
  </si>
  <si>
    <t>Direct Services</t>
  </si>
  <si>
    <t>Intergovernmental Services</t>
  </si>
  <si>
    <t>Regional Animal Services of King County Operating Fund /000001431</t>
  </si>
  <si>
    <t>GF Refund</t>
  </si>
  <si>
    <r>
      <t>1</t>
    </r>
    <r>
      <rPr>
        <sz val="11"/>
        <rFont val="Calibri"/>
        <family val="2"/>
        <scheme val="minor"/>
      </rPr>
      <t xml:space="preserve"> 2013-2014 Actuals reflect year end information from EBS and are consistent with the Budgetary Fund Balance figures published by FBOD.</t>
    </r>
  </si>
  <si>
    <r>
      <rPr>
        <vertAlign val="superscript"/>
        <sz val="11"/>
        <rFont val="Calibri"/>
        <family val="2"/>
        <scheme val="minor"/>
      </rPr>
      <t>2</t>
    </r>
    <r>
      <rPr>
        <sz val="11"/>
        <rFont val="Calibri"/>
        <family val="2"/>
        <scheme val="minor"/>
      </rPr>
      <t xml:space="preserve"> 2015-2016 Adopted Budget is based on ordinance 17941.</t>
    </r>
  </si>
  <si>
    <r>
      <rPr>
        <vertAlign val="superscript"/>
        <sz val="11"/>
        <rFont val="Calibri"/>
        <family val="2"/>
        <scheme val="minor"/>
      </rPr>
      <t>3</t>
    </r>
    <r>
      <rPr>
        <sz val="11"/>
        <rFont val="Calibri"/>
        <family val="2"/>
        <scheme val="minor"/>
      </rPr>
      <t xml:space="preserve"> 2015-2016 Current Budget includes automatic carryover of $104,947.</t>
    </r>
  </si>
  <si>
    <r>
      <rPr>
        <vertAlign val="superscript"/>
        <sz val="11"/>
        <rFont val="Calibri"/>
        <family val="2"/>
        <scheme val="minor"/>
      </rPr>
      <t>4</t>
    </r>
    <r>
      <rPr>
        <sz val="11"/>
        <rFont val="Calibri"/>
        <family val="2"/>
        <scheme val="minor"/>
      </rPr>
      <t xml:space="preserve"> 2015-2016 Biennial-to-Date Actuals reflects actual revenues and expenditures as of 3-2-17, using EBS report GL_RPT_062.</t>
    </r>
  </si>
  <si>
    <r>
      <t>5</t>
    </r>
    <r>
      <rPr>
        <sz val="11"/>
        <rFont val="Calibri"/>
        <family val="2"/>
        <scheme val="minor"/>
      </rPr>
      <t xml:space="preserve"> 2015-2016 Estimated reflects updated revenue and expenditure estimates as of 3-2-17.</t>
    </r>
  </si>
  <si>
    <t>Financial Plan Q4 2016 Monitoring</t>
  </si>
  <si>
    <r>
      <t>2021-2022 Projected</t>
    </r>
    <r>
      <rPr>
        <b/>
        <vertAlign val="superscript"/>
        <sz val="12"/>
        <rFont val="Calibri"/>
        <family val="2"/>
        <scheme val="minor"/>
      </rPr>
      <t>6</t>
    </r>
  </si>
  <si>
    <t xml:space="preserve">Financial Plan Notes </t>
  </si>
  <si>
    <t>Enhanced Services8</t>
  </si>
  <si>
    <r>
      <t>Other Fund Transactions9</t>
    </r>
    <r>
      <rPr>
        <b/>
        <vertAlign val="superscript"/>
        <sz val="12"/>
        <rFont val="Calibri"/>
        <family val="2"/>
        <scheme val="minor"/>
      </rPr>
      <t xml:space="preserve"> </t>
    </r>
  </si>
  <si>
    <t>Reserves10</t>
  </si>
  <si>
    <r>
      <t>2017-2018 Estimated</t>
    </r>
    <r>
      <rPr>
        <b/>
        <vertAlign val="superscript"/>
        <sz val="12"/>
        <rFont val="Calibri"/>
        <family val="2"/>
        <scheme val="minor"/>
      </rPr>
      <t>7 ILA</t>
    </r>
  </si>
  <si>
    <r>
      <t>2019-2020 Projected</t>
    </r>
    <r>
      <rPr>
        <b/>
        <vertAlign val="superscript"/>
        <sz val="12"/>
        <rFont val="Calibri"/>
        <family val="2"/>
        <scheme val="minor"/>
      </rPr>
      <t>7 ILA</t>
    </r>
  </si>
  <si>
    <r>
      <t>2021-2022 Projected</t>
    </r>
    <r>
      <rPr>
        <b/>
        <vertAlign val="superscript"/>
        <sz val="12"/>
        <rFont val="Calibri"/>
        <family val="2"/>
        <scheme val="minor"/>
      </rPr>
      <t>7 ILA</t>
    </r>
  </si>
  <si>
    <r>
      <rPr>
        <vertAlign val="superscript"/>
        <sz val="11"/>
        <color theme="1"/>
        <rFont val="Calibri"/>
        <family val="2"/>
        <scheme val="minor"/>
      </rPr>
      <t>8</t>
    </r>
    <r>
      <rPr>
        <sz val="11"/>
        <color theme="1"/>
        <rFont val="Calibri"/>
        <family val="2"/>
        <scheme val="minor"/>
      </rPr>
      <t xml:space="preserve"> Enhanced Services to contract cities are outside the base service offerings provided by the master interlocal agreement (ILA). PSB and RALS assume some revenue (and corresponding expenditures) from Enhanced Service requests. There were no requests for Enhanced Services in 2015-2016, therefore there are no revenues or expenditures. Lack of these expenditures is a driver for overall fund underexpenditure for the 2015-2016 biennium.</t>
    </r>
  </si>
  <si>
    <r>
      <rPr>
        <vertAlign val="superscript"/>
        <sz val="11"/>
        <rFont val="Calibri"/>
        <family val="2"/>
        <scheme val="minor"/>
      </rPr>
      <t>9</t>
    </r>
    <r>
      <rPr>
        <sz val="11"/>
        <rFont val="Calibri"/>
        <family val="2"/>
        <scheme val="minor"/>
      </rPr>
      <t xml:space="preserve"> Other fund transactions include a one-time fund balance reduction related to underspent General Fund support during 2013-2015.</t>
    </r>
  </si>
  <si>
    <r>
      <rPr>
        <vertAlign val="superscript"/>
        <sz val="11"/>
        <rFont val="Calibri"/>
        <family val="2"/>
        <scheme val="minor"/>
      </rPr>
      <t>10</t>
    </r>
    <r>
      <rPr>
        <sz val="11"/>
        <rFont val="Calibri"/>
        <family val="2"/>
        <scheme val="minor"/>
      </rPr>
      <t xml:space="preserve"> Cash Flow Fund Balance Reserve sets aside fund balance to offset fluctuations in revenue/expenditures that result in periods of negative fund balance.  This reserve will help avoid negative fund balances that would require interfund loaning at an increased cost to the Animal Services Fund. The current reserve estimate functions as a placeholder pending further fund balance analysis and data availability.    
</t>
    </r>
  </si>
  <si>
    <r>
      <rPr>
        <vertAlign val="superscript"/>
        <sz val="11"/>
        <rFont val="Calibri"/>
        <family val="2"/>
        <scheme val="minor"/>
      </rPr>
      <t>11</t>
    </r>
    <r>
      <rPr>
        <sz val="11"/>
        <rFont val="Calibri"/>
        <family val="2"/>
        <scheme val="minor"/>
      </rPr>
      <t xml:space="preserve"> This plan was updated by Andrew Cronholm on 3-6-2017 in preparation for Q4 2016 financial monitoring. </t>
    </r>
  </si>
  <si>
    <r>
      <t>6</t>
    </r>
    <r>
      <rPr>
        <sz val="11"/>
        <color theme="1"/>
        <rFont val="Calibri"/>
        <family val="2"/>
        <scheme val="minor"/>
      </rPr>
      <t xml:space="preserve"> 2017-2018 Adopted Financial Plan based on ordinance 18409. </t>
    </r>
  </si>
  <si>
    <r>
      <t xml:space="preserve">7 </t>
    </r>
    <r>
      <rPr>
        <sz val="11"/>
        <color theme="1"/>
        <rFont val="Calibri"/>
        <family val="2"/>
        <scheme val="minor"/>
      </rPr>
      <t>These columns show the impact of the 2018-2022 ILA on the health of the fund for the respective biennia and are included for comparative purposes against outyear projections included in the 2017-2018 Adopted Financial Plan. Note that 2017-2018 Estimated Beginning Fund Balance is subject to change based on the final Budgetary Fund Balance ending 12/31/2016 as determined by FBOD in late May/early June of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</si>
</sst>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_(* #,##0.0000_);_(* \(#,##0.0000\);_(* &quot;-&quot;??_);_(@_)"/>
  </numFmts>
  <fonts count="55">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sz val="18"/>
      <color theme="3"/>
      <name val="Cambria"/>
      <family val="2"/>
      <scheme val="major"/>
    </font>
    <font>
      <sz val="12"/>
      <color theme="1"/>
      <name val="Calibri"/>
      <family val="2"/>
      <scheme val="minor"/>
    </font>
  </fonts>
  <fills count="6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9" tint="0.5999900102615356"/>
        <bgColor indexed="64"/>
      </patternFill>
    </fill>
    <fill>
      <patternFill patternType="solid">
        <fgColor theme="0" tint="-0.1499900072813034"/>
        <bgColor indexed="64"/>
      </patternFill>
    </fill>
  </fills>
  <borders count="3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style="thin"/>
      <top/>
      <bottom style="thin"/>
    </border>
    <border>
      <left style="thin"/>
      <right style="thin"/>
      <top style="thin"/>
      <bottom/>
    </border>
    <border>
      <left style="thin"/>
      <right/>
      <top/>
      <bottom/>
    </border>
    <border>
      <left style="thin"/>
      <right/>
      <top/>
      <bottom style="thin"/>
    </border>
    <border>
      <left style="thin"/>
      <right/>
      <top style="thin"/>
      <bottom style="thin"/>
    </border>
    <border>
      <left/>
      <right style="thin"/>
      <top/>
      <bottom style="thin"/>
    </border>
    <border>
      <left/>
      <right style="thin"/>
      <top style="thin"/>
      <bottom/>
    </border>
    <border>
      <left/>
      <right style="thin"/>
      <top/>
      <bottom/>
    </border>
    <border>
      <left/>
      <right style="thin"/>
      <top style="thin"/>
      <bottom style="thin"/>
    </border>
    <border>
      <left/>
      <right/>
      <top/>
      <bottom style="thin"/>
    </border>
    <border>
      <left style="thin"/>
      <right/>
      <top style="thin"/>
      <bottom/>
    </border>
    <border>
      <left/>
      <right/>
      <top style="thin"/>
      <bottom/>
    </border>
  </borders>
  <cellStyleXfs count="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37" fontId="32" fillId="0" borderId="0">
      <alignment/>
      <protection/>
    </xf>
    <xf numFmtId="0" fontId="1" fillId="0" borderId="0">
      <alignment/>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47"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0" fillId="0" borderId="0">
      <alignment/>
      <protection/>
    </xf>
    <xf numFmtId="0" fontId="49"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0" fontId="1" fillId="0" borderId="0" applyNumberFormat="0" applyBorder="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3" fontId="1" fillId="0" borderId="21" applyFont="0" applyFill="0" applyProtection="0">
      <alignment/>
    </xf>
    <xf numFmtId="43" fontId="4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51" fillId="0" borderId="0" applyNumberFormat="0" applyFill="0" applyBorder="0">
      <alignment/>
      <protection locked="0"/>
    </xf>
    <xf numFmtId="0" fontId="51"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0" fontId="33" fillId="51" borderId="17" applyNumberFormat="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42" fontId="16" fillId="0" borderId="22" applyFont="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2" fillId="0" borderId="0">
      <alignment/>
      <protection/>
    </xf>
    <xf numFmtId="43" fontId="52" fillId="0" borderId="0" applyFont="0" applyFill="0" applyBorder="0" applyAlignment="0" applyProtection="0"/>
    <xf numFmtId="0" fontId="53" fillId="0" borderId="0" applyNumberFormat="0" applyFill="0" applyBorder="0" applyAlignment="0" applyProtection="0"/>
    <xf numFmtId="0" fontId="0" fillId="0" borderId="0">
      <alignment/>
      <protection/>
    </xf>
    <xf numFmtId="0" fontId="54" fillId="0" borderId="0">
      <alignment/>
      <protection/>
    </xf>
    <xf numFmtId="9"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9" fontId="54" fillId="0" borderId="0" applyFont="0" applyFill="0" applyBorder="0" applyAlignment="0" applyProtection="0"/>
  </cellStyleXfs>
  <cellXfs count="149">
    <xf numFmtId="0" fontId="0" fillId="0" borderId="0" xfId="0"/>
    <xf numFmtId="37" fontId="39" fillId="56" borderId="20" xfId="108" applyFont="1" applyFill="1" applyBorder="1" applyAlignment="1">
      <alignment horizontal="left" vertical="center"/>
      <protection/>
    </xf>
    <xf numFmtId="37" fontId="39" fillId="56" borderId="23" xfId="108" applyFont="1" applyFill="1" applyBorder="1" applyAlignment="1">
      <alignment horizontal="left" vertical="center"/>
      <protection/>
    </xf>
    <xf numFmtId="167" fontId="38" fillId="56" borderId="24" xfId="88" applyNumberFormat="1" applyFont="1" applyFill="1" applyBorder="1" applyAlignment="1">
      <alignment vertical="center"/>
    </xf>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37" fontId="38" fillId="56" borderId="25" xfId="108" applyFont="1" applyFill="1" applyBorder="1" applyAlignment="1" quotePrefix="1">
      <alignment horizontal="left" vertical="center"/>
      <protection/>
    </xf>
    <xf numFmtId="0" fontId="0" fillId="0" borderId="0" xfId="0"/>
    <xf numFmtId="0" fontId="0" fillId="0" borderId="0" xfId="0" applyFill="1"/>
    <xf numFmtId="167" fontId="39" fillId="56" borderId="19" xfId="88" applyNumberFormat="1" applyFont="1" applyFill="1" applyBorder="1" applyAlignment="1">
      <alignment vertical="center"/>
    </xf>
    <xf numFmtId="37" fontId="39" fillId="56" borderId="19" xfId="108" applyFont="1" applyFill="1" applyBorder="1" applyAlignment="1">
      <alignment horizontal="left" vertical="center"/>
      <protection/>
    </xf>
    <xf numFmtId="167" fontId="38" fillId="56" borderId="19" xfId="88" applyNumberFormat="1" applyFont="1" applyFill="1" applyBorder="1" applyAlignment="1">
      <alignment vertical="center"/>
    </xf>
    <xf numFmtId="37" fontId="38" fillId="56" borderId="19" xfId="108" applyFont="1" applyFill="1" applyBorder="1" applyAlignment="1">
      <alignment horizontal="left" vertical="center"/>
      <protection/>
    </xf>
    <xf numFmtId="167" fontId="38" fillId="56" borderId="19" xfId="18" applyNumberFormat="1" applyFont="1" applyFill="1" applyBorder="1" applyAlignment="1">
      <alignment vertical="center"/>
    </xf>
    <xf numFmtId="37" fontId="38" fillId="56" borderId="19" xfId="108" applyFont="1" applyFill="1" applyBorder="1" applyAlignment="1">
      <alignment horizontal="left"/>
      <protection/>
    </xf>
    <xf numFmtId="167" fontId="39" fillId="56" borderId="23" xfId="88" applyNumberFormat="1" applyFont="1" applyFill="1" applyBorder="1" applyAlignment="1">
      <alignment vertical="center"/>
    </xf>
    <xf numFmtId="167" fontId="39" fillId="56" borderId="26" xfId="88" applyNumberFormat="1" applyFont="1" applyFill="1" applyBorder="1" applyAlignment="1">
      <alignment vertical="center"/>
    </xf>
    <xf numFmtId="37" fontId="39" fillId="56" borderId="27" xfId="108" applyFont="1" applyFill="1" applyBorder="1" applyAlignment="1">
      <alignment horizontal="center" wrapText="1"/>
      <protection/>
    </xf>
    <xf numFmtId="37" fontId="38" fillId="56" borderId="25" xfId="108" applyFont="1" applyFill="1" applyBorder="1" applyAlignment="1">
      <alignment horizontal="left"/>
      <protection/>
    </xf>
    <xf numFmtId="37" fontId="38" fillId="56" borderId="25" xfId="108" applyFont="1" applyFill="1" applyBorder="1" applyAlignment="1">
      <alignment horizontal="right"/>
      <protection/>
    </xf>
    <xf numFmtId="37" fontId="39" fillId="56" borderId="25" xfId="108" applyFont="1" applyFill="1" applyBorder="1" applyAlignment="1">
      <alignment horizontal="left" vertical="center"/>
      <protection/>
    </xf>
    <xf numFmtId="167" fontId="39" fillId="56" borderId="20" xfId="18" applyNumberFormat="1" applyFont="1" applyFill="1" applyBorder="1" applyAlignment="1">
      <alignment vertical="center"/>
    </xf>
    <xf numFmtId="37" fontId="39" fillId="0" borderId="0" xfId="108" applyFont="1" applyFill="1" applyAlignment="1">
      <alignment horizontal="left"/>
      <protection/>
    </xf>
    <xf numFmtId="37" fontId="38" fillId="0" borderId="0" xfId="108" applyFont="1" applyFill="1" applyBorder="1">
      <alignment/>
      <protection/>
    </xf>
    <xf numFmtId="167" fontId="38" fillId="56" borderId="20" xfId="88" applyNumberFormat="1" applyFont="1" applyFill="1" applyBorder="1" applyAlignment="1" quotePrefix="1">
      <alignment vertical="center"/>
    </xf>
    <xf numFmtId="0" fontId="42" fillId="0" borderId="0" xfId="0" applyFont="1" applyFill="1" applyAlignment="1">
      <alignment horizontal="left" wrapText="1"/>
    </xf>
    <xf numFmtId="0" fontId="0" fillId="0" borderId="0" xfId="0" applyFill="1" applyAlignment="1">
      <alignment horizontal="left" wrapText="1"/>
    </xf>
    <xf numFmtId="167" fontId="39" fillId="56" borderId="23" xfId="18" applyNumberFormat="1" applyFont="1" applyFill="1" applyBorder="1" applyAlignment="1">
      <alignment vertical="center"/>
    </xf>
    <xf numFmtId="0" fontId="42" fillId="0" borderId="0" xfId="0" applyFont="1" applyFill="1" applyAlignment="1">
      <alignment horizontal="left" vertical="top"/>
    </xf>
    <xf numFmtId="0" fontId="42" fillId="0" borderId="0" xfId="0" applyFont="1" applyFill="1" applyAlignment="1">
      <alignment horizontal="center" wrapText="1"/>
    </xf>
    <xf numFmtId="0" fontId="43" fillId="0" borderId="0" xfId="0" applyFont="1" applyFill="1" applyAlignment="1">
      <alignment horizontal="left" vertical="top"/>
    </xf>
    <xf numFmtId="0" fontId="0" fillId="0" borderId="0" xfId="0" applyFont="1"/>
    <xf numFmtId="0" fontId="0" fillId="0" borderId="0" xfId="0" applyFont="1" applyFill="1"/>
    <xf numFmtId="0" fontId="41" fillId="0" borderId="0" xfId="0" applyFont="1" applyFill="1" applyAlignment="1">
      <alignment horizontal="left" vertical="top"/>
    </xf>
    <xf numFmtId="0" fontId="0" fillId="56" borderId="0" xfId="0" applyFill="1"/>
    <xf numFmtId="174" fontId="0" fillId="0" borderId="0" xfId="15" applyNumberFormat="1" applyFont="1"/>
    <xf numFmtId="37" fontId="39" fillId="56" borderId="23" xfId="108" applyFont="1" applyFill="1" applyBorder="1" applyAlignment="1">
      <alignment horizontal="center" wrapText="1"/>
      <protection/>
    </xf>
    <xf numFmtId="37" fontId="39" fillId="56" borderId="28" xfId="108" applyFont="1" applyFill="1" applyBorder="1" applyAlignment="1">
      <alignment horizontal="center" wrapText="1"/>
      <protection/>
    </xf>
    <xf numFmtId="37" fontId="39" fillId="56" borderId="19" xfId="108" applyFont="1" applyFill="1" applyBorder="1" applyAlignment="1">
      <alignment horizontal="center" wrapText="1"/>
      <protection/>
    </xf>
    <xf numFmtId="0" fontId="39" fillId="56" borderId="0" xfId="0" applyFont="1" applyFill="1" applyAlignment="1">
      <alignment horizontal="center"/>
    </xf>
    <xf numFmtId="0" fontId="0" fillId="0" borderId="0" xfId="0"/>
    <xf numFmtId="0" fontId="0" fillId="56" borderId="0" xfId="0" applyFill="1"/>
    <xf numFmtId="37" fontId="38" fillId="57" borderId="19" xfId="108" applyFont="1" applyFill="1" applyBorder="1" applyAlignment="1">
      <alignment horizontal="left" indent="1"/>
      <protection/>
    </xf>
    <xf numFmtId="0" fontId="0" fillId="0" borderId="0" xfId="0"/>
    <xf numFmtId="0" fontId="0" fillId="56" borderId="0" xfId="0" applyFill="1"/>
    <xf numFmtId="167" fontId="38" fillId="58" borderId="19" xfId="116" applyNumberFormat="1" applyFont="1" applyFill="1" applyBorder="1" applyAlignment="1">
      <alignment horizontal="right"/>
      <protection/>
    </xf>
    <xf numFmtId="37" fontId="38" fillId="57" borderId="19" xfId="108" applyFont="1" applyFill="1" applyBorder="1" applyAlignment="1">
      <alignment horizontal="left" indent="1"/>
      <protection/>
    </xf>
    <xf numFmtId="167" fontId="38" fillId="58" borderId="19" xfId="0" applyNumberFormat="1" applyFont="1" applyFill="1" applyBorder="1"/>
    <xf numFmtId="37" fontId="38" fillId="57" borderId="19" xfId="108" applyFont="1" applyFill="1" applyBorder="1" applyAlignment="1">
      <alignment/>
      <protection/>
    </xf>
    <xf numFmtId="167" fontId="39" fillId="58" borderId="23" xfId="88" applyNumberFormat="1" applyFont="1" applyFill="1" applyBorder="1" applyAlignment="1">
      <alignment vertical="center"/>
    </xf>
    <xf numFmtId="37" fontId="38" fillId="56" borderId="19" xfId="108" applyFont="1" applyFill="1" applyBorder="1" applyAlignment="1" applyProtection="1">
      <alignment horizontal="right"/>
      <protection locked="0"/>
    </xf>
    <xf numFmtId="167" fontId="38" fillId="58" borderId="25" xfId="116" applyNumberFormat="1" applyFont="1" applyFill="1" applyBorder="1" applyAlignment="1">
      <alignment horizontal="right"/>
      <protection/>
    </xf>
    <xf numFmtId="167" fontId="38" fillId="58" borderId="19" xfId="116" applyNumberFormat="1" applyFont="1" applyFill="1" applyBorder="1" applyAlignment="1">
      <alignment horizontal="right"/>
      <protection/>
    </xf>
    <xf numFmtId="167" fontId="38" fillId="58" borderId="19" xfId="88" applyNumberFormat="1" applyFont="1" applyFill="1" applyBorder="1" applyAlignment="1">
      <alignment vertical="center"/>
    </xf>
    <xf numFmtId="37" fontId="38" fillId="56" borderId="19" xfId="108" applyFont="1" applyFill="1" applyBorder="1" applyAlignment="1" applyProtection="1">
      <alignment horizontal="right"/>
      <protection locked="0"/>
    </xf>
    <xf numFmtId="167" fontId="38" fillId="58" borderId="25" xfId="116" applyNumberFormat="1" applyFont="1" applyFill="1" applyBorder="1" applyAlignment="1">
      <alignment horizontal="right"/>
      <protection/>
    </xf>
    <xf numFmtId="167" fontId="38" fillId="56" borderId="25" xfId="108" applyNumberFormat="1" applyFont="1" applyFill="1" applyBorder="1" applyAlignment="1" applyProtection="1">
      <alignment horizontal="right" indent="1"/>
      <protection locked="0"/>
    </xf>
    <xf numFmtId="37" fontId="38" fillId="56" borderId="19" xfId="108" applyFont="1" applyFill="1" applyBorder="1" applyAlignment="1" applyProtection="1">
      <alignment horizontal="right"/>
      <protection locked="0"/>
    </xf>
    <xf numFmtId="167" fontId="38" fillId="56" borderId="19" xfId="88" applyNumberFormat="1" applyFont="1" applyFill="1" applyBorder="1" applyAlignment="1">
      <alignment horizontal="right" vertical="center" indent="1"/>
    </xf>
    <xf numFmtId="167" fontId="38" fillId="58" borderId="25" xfId="116" applyNumberFormat="1" applyFont="1" applyFill="1" applyBorder="1" applyAlignment="1">
      <alignment horizontal="right"/>
      <protection/>
    </xf>
    <xf numFmtId="167" fontId="38" fillId="58" borderId="19" xfId="116" applyNumberFormat="1" applyFont="1" applyFill="1" applyBorder="1" applyAlignment="1">
      <alignment horizontal="right"/>
      <protection/>
    </xf>
    <xf numFmtId="167" fontId="38" fillId="58" borderId="19" xfId="88" applyNumberFormat="1" applyFont="1" applyFill="1" applyBorder="1" applyAlignment="1">
      <alignment vertical="center"/>
    </xf>
    <xf numFmtId="167" fontId="38" fillId="58" borderId="19" xfId="0" applyNumberFormat="1" applyFont="1" applyFill="1" applyBorder="1"/>
    <xf numFmtId="37" fontId="38" fillId="56" borderId="25" xfId="108" applyFont="1" applyFill="1" applyBorder="1" applyAlignment="1" applyProtection="1" quotePrefix="1">
      <alignment horizontal="left" vertical="center"/>
      <protection locked="0"/>
    </xf>
    <xf numFmtId="167" fontId="54" fillId="56" borderId="24" xfId="0" applyNumberFormat="1" applyFont="1" applyFill="1" applyBorder="1"/>
    <xf numFmtId="9" fontId="54" fillId="56" borderId="29" xfId="15" applyNumberFormat="1" applyFont="1" applyFill="1" applyBorder="1"/>
    <xf numFmtId="0" fontId="54" fillId="56" borderId="0" xfId="0" applyFont="1" applyFill="1"/>
    <xf numFmtId="0" fontId="54" fillId="56" borderId="24" xfId="0" applyFont="1" applyFill="1" applyBorder="1"/>
    <xf numFmtId="0" fontId="54" fillId="56" borderId="29" xfId="0" applyFont="1" applyFill="1" applyBorder="1"/>
    <xf numFmtId="167" fontId="54" fillId="56" borderId="19" xfId="0" applyNumberFormat="1" applyFont="1" applyFill="1" applyBorder="1"/>
    <xf numFmtId="9" fontId="54" fillId="56" borderId="30" xfId="15" applyNumberFormat="1" applyFont="1" applyFill="1" applyBorder="1"/>
    <xf numFmtId="9" fontId="54" fillId="56" borderId="24" xfId="0" applyNumberFormat="1" applyFont="1" applyFill="1" applyBorder="1"/>
    <xf numFmtId="9" fontId="54" fillId="56" borderId="19" xfId="15" applyNumberFormat="1" applyFont="1" applyFill="1" applyBorder="1"/>
    <xf numFmtId="9" fontId="54" fillId="56" borderId="23" xfId="15" applyNumberFormat="1" applyFont="1" applyFill="1" applyBorder="1"/>
    <xf numFmtId="167" fontId="54" fillId="56" borderId="20" xfId="0" applyNumberFormat="1" applyFont="1" applyFill="1" applyBorder="1"/>
    <xf numFmtId="9" fontId="54" fillId="56" borderId="20" xfId="15" applyNumberFormat="1" applyFont="1" applyFill="1" applyBorder="1"/>
    <xf numFmtId="167" fontId="54" fillId="56" borderId="23" xfId="0" applyNumberFormat="1" applyFont="1" applyFill="1" applyBorder="1"/>
    <xf numFmtId="9" fontId="54" fillId="56" borderId="30" xfId="0" applyNumberFormat="1" applyFont="1" applyFill="1" applyBorder="1"/>
    <xf numFmtId="0" fontId="54" fillId="56" borderId="23" xfId="0" applyFont="1" applyFill="1" applyBorder="1"/>
    <xf numFmtId="37" fontId="54" fillId="56" borderId="20" xfId="0" applyNumberFormat="1" applyFont="1" applyFill="1" applyBorder="1"/>
    <xf numFmtId="9" fontId="54" fillId="56" borderId="31" xfId="15" applyNumberFormat="1" applyFont="1" applyFill="1" applyBorder="1"/>
    <xf numFmtId="167" fontId="38" fillId="56" borderId="19" xfId="108" applyNumberFormat="1" applyFont="1" applyFill="1" applyBorder="1" applyAlignment="1" applyProtection="1">
      <alignment horizontal="right" indent="1"/>
      <protection locked="0"/>
    </xf>
    <xf numFmtId="37" fontId="39" fillId="0" borderId="20" xfId="108" applyFont="1" applyFill="1" applyBorder="1" applyAlignment="1">
      <alignment horizontal="left"/>
      <protection/>
    </xf>
    <xf numFmtId="37" fontId="39" fillId="0" borderId="20" xfId="108" applyFont="1" applyFill="1" applyBorder="1" applyAlignment="1" applyProtection="1">
      <alignment horizontal="right"/>
      <protection locked="0"/>
    </xf>
    <xf numFmtId="167" fontId="39" fillId="0" borderId="20" xfId="88" applyNumberFormat="1" applyFont="1" applyFill="1" applyBorder="1" applyAlignment="1">
      <alignment/>
    </xf>
    <xf numFmtId="167" fontId="38" fillId="0" borderId="25" xfId="116" applyNumberFormat="1" applyFont="1" applyFill="1" applyBorder="1" applyAlignment="1">
      <alignment horizontal="right"/>
      <protection/>
    </xf>
    <xf numFmtId="167" fontId="39" fillId="0" borderId="23" xfId="88" applyNumberFormat="1" applyFont="1" applyFill="1" applyBorder="1" applyAlignment="1">
      <alignment vertical="center"/>
    </xf>
    <xf numFmtId="37" fontId="39" fillId="0" borderId="20" xfId="108" applyFont="1" applyFill="1" applyBorder="1" applyAlignment="1">
      <alignment horizontal="right" vertical="center"/>
      <protection/>
    </xf>
    <xf numFmtId="167" fontId="38" fillId="0" borderId="20" xfId="18" applyNumberFormat="1" applyFont="1" applyFill="1" applyBorder="1" applyAlignment="1">
      <alignment horizontal="right" vertical="center"/>
    </xf>
    <xf numFmtId="167" fontId="38" fillId="0" borderId="19" xfId="88" applyNumberFormat="1" applyFont="1" applyFill="1" applyBorder="1" applyAlignment="1">
      <alignment horizontal="right" vertical="center" indent="1"/>
    </xf>
    <xf numFmtId="167" fontId="54" fillId="56" borderId="25" xfId="0" applyNumberFormat="1" applyFont="1" applyFill="1" applyBorder="1"/>
    <xf numFmtId="167" fontId="54" fillId="56" borderId="26" xfId="0" applyNumberFormat="1" applyFont="1" applyFill="1" applyBorder="1"/>
    <xf numFmtId="0" fontId="39" fillId="56" borderId="0" xfId="0" applyFont="1" applyFill="1" applyAlignment="1">
      <alignment horizontal="center"/>
    </xf>
    <xf numFmtId="167" fontId="38" fillId="56" borderId="19" xfId="88" applyNumberFormat="1" applyFont="1" applyFill="1" applyBorder="1" applyAlignment="1">
      <alignment horizontal="right" vertical="center" indent="1"/>
    </xf>
    <xf numFmtId="167" fontId="38" fillId="56" borderId="19" xfId="108" applyNumberFormat="1" applyFont="1" applyFill="1" applyBorder="1" applyAlignment="1" applyProtection="1">
      <alignment horizontal="right" indent="1"/>
      <protection locked="0"/>
    </xf>
    <xf numFmtId="0" fontId="39" fillId="31" borderId="0" xfId="0" applyFont="1" applyFill="1" applyAlignment="1">
      <alignment horizontal="center"/>
    </xf>
    <xf numFmtId="37" fontId="39" fillId="31" borderId="20" xfId="108" applyFont="1" applyFill="1" applyBorder="1" applyAlignment="1">
      <alignment horizontal="center" wrapText="1"/>
      <protection/>
    </xf>
    <xf numFmtId="167" fontId="39" fillId="31" borderId="20" xfId="88" applyNumberFormat="1" applyFont="1" applyFill="1" applyBorder="1" applyAlignment="1">
      <alignment/>
    </xf>
    <xf numFmtId="167" fontId="38" fillId="31" borderId="24" xfId="88" applyNumberFormat="1" applyFont="1" applyFill="1" applyBorder="1" applyAlignment="1">
      <alignment vertical="center"/>
    </xf>
    <xf numFmtId="167" fontId="38" fillId="59" borderId="25" xfId="116" applyNumberFormat="1" applyFont="1" applyFill="1" applyBorder="1" applyAlignment="1">
      <alignment horizontal="right"/>
      <protection/>
    </xf>
    <xf numFmtId="167" fontId="38" fillId="31" borderId="25" xfId="116" applyNumberFormat="1" applyFont="1" applyFill="1" applyBorder="1" applyAlignment="1">
      <alignment horizontal="right"/>
      <protection/>
    </xf>
    <xf numFmtId="167" fontId="38" fillId="31" borderId="19" xfId="88" applyNumberFormat="1" applyFont="1" applyFill="1" applyBorder="1" applyAlignment="1">
      <alignment vertical="center"/>
    </xf>
    <xf numFmtId="167" fontId="39" fillId="31" borderId="26" xfId="88" applyNumberFormat="1" applyFont="1" applyFill="1" applyBorder="1" applyAlignment="1">
      <alignment vertical="center"/>
    </xf>
    <xf numFmtId="167" fontId="38" fillId="31" borderId="25" xfId="108" applyNumberFormat="1" applyFont="1" applyFill="1" applyBorder="1" applyAlignment="1" applyProtection="1">
      <alignment horizontal="right" indent="1"/>
      <protection locked="0"/>
    </xf>
    <xf numFmtId="167" fontId="39" fillId="31" borderId="23" xfId="88" applyNumberFormat="1" applyFont="1" applyFill="1" applyBorder="1" applyAlignment="1">
      <alignment vertical="center"/>
    </xf>
    <xf numFmtId="167" fontId="38" fillId="31" borderId="20" xfId="18" applyNumberFormat="1" applyFont="1" applyFill="1" applyBorder="1" applyAlignment="1">
      <alignment horizontal="right" vertical="center"/>
    </xf>
    <xf numFmtId="167" fontId="38" fillId="59" borderId="19" xfId="88" applyNumberFormat="1" applyFont="1" applyFill="1" applyBorder="1" applyAlignment="1">
      <alignment vertical="center"/>
    </xf>
    <xf numFmtId="167" fontId="38" fillId="31" borderId="20" xfId="88" applyNumberFormat="1" applyFont="1" applyFill="1" applyBorder="1" applyAlignment="1" quotePrefix="1">
      <alignment vertical="center"/>
    </xf>
    <xf numFmtId="37" fontId="38" fillId="31" borderId="19" xfId="108" applyFont="1" applyFill="1" applyBorder="1" applyAlignment="1" applyProtection="1">
      <alignment horizontal="right"/>
      <protection locked="0"/>
    </xf>
    <xf numFmtId="167" fontId="38" fillId="31" borderId="19" xfId="18" applyNumberFormat="1" applyFont="1" applyFill="1" applyBorder="1" applyAlignment="1">
      <alignment vertical="center"/>
    </xf>
    <xf numFmtId="167" fontId="39" fillId="31" borderId="19" xfId="88" applyNumberFormat="1" applyFont="1" applyFill="1" applyBorder="1" applyAlignment="1">
      <alignment vertical="center"/>
    </xf>
    <xf numFmtId="167" fontId="39" fillId="31" borderId="23" xfId="18" applyNumberFormat="1" applyFont="1" applyFill="1" applyBorder="1" applyAlignment="1">
      <alignment vertical="center"/>
    </xf>
    <xf numFmtId="167" fontId="39" fillId="31" borderId="20" xfId="18" applyNumberFormat="1" applyFont="1" applyFill="1" applyBorder="1" applyAlignment="1">
      <alignment vertical="center"/>
    </xf>
    <xf numFmtId="37" fontId="38" fillId="31" borderId="0" xfId="108" applyFont="1" applyFill="1" applyBorder="1">
      <alignment/>
      <protection/>
    </xf>
    <xf numFmtId="0" fontId="42" fillId="31" borderId="0" xfId="0" applyFont="1" applyFill="1" applyAlignment="1">
      <alignment horizontal="left" wrapText="1"/>
    </xf>
    <xf numFmtId="0" fontId="0" fillId="31" borderId="0" xfId="0" applyFill="1" applyAlignment="1">
      <alignment horizontal="left" wrapText="1"/>
    </xf>
    <xf numFmtId="0" fontId="0" fillId="31" borderId="0" xfId="0" applyFill="1"/>
    <xf numFmtId="167" fontId="38" fillId="31" borderId="19" xfId="88" applyNumberFormat="1" applyFont="1" applyFill="1" applyBorder="1" applyAlignment="1">
      <alignment horizontal="right" vertical="center" indent="1"/>
    </xf>
    <xf numFmtId="167" fontId="38" fillId="31" borderId="19" xfId="108" applyNumberFormat="1" applyFont="1" applyFill="1" applyBorder="1" applyAlignment="1" applyProtection="1">
      <alignment horizontal="right" indent="1"/>
      <protection locked="0"/>
    </xf>
    <xf numFmtId="167" fontId="39" fillId="56" borderId="0" xfId="0" applyNumberFormat="1" applyFont="1" applyFill="1" applyAlignment="1">
      <alignment horizontal="center"/>
    </xf>
    <xf numFmtId="175" fontId="41" fillId="0" borderId="0" xfId="0" applyNumberFormat="1" applyFont="1" applyFill="1" applyAlignment="1">
      <alignment horizontal="left" wrapText="1"/>
    </xf>
    <xf numFmtId="167" fontId="41" fillId="0" borderId="0" xfId="0" applyNumberFormat="1" applyFont="1" applyFill="1" applyAlignment="1">
      <alignment horizontal="left" wrapText="1"/>
    </xf>
    <xf numFmtId="0" fontId="41" fillId="0" borderId="0" xfId="0" applyFont="1" applyFill="1" applyAlignment="1">
      <alignment horizontal="left" wrapText="1"/>
    </xf>
    <xf numFmtId="0" fontId="39" fillId="56" borderId="0" xfId="0" applyFont="1" applyFill="1" applyAlignment="1">
      <alignment horizontal="center"/>
    </xf>
    <xf numFmtId="0" fontId="39" fillId="0" borderId="0" xfId="0" applyFont="1" applyFill="1" applyAlignment="1">
      <alignment horizontal="center"/>
    </xf>
    <xf numFmtId="167" fontId="39" fillId="0" borderId="20" xfId="18" applyNumberFormat="1" applyFont="1" applyFill="1" applyBorder="1" applyAlignment="1">
      <alignment vertical="center"/>
    </xf>
    <xf numFmtId="167" fontId="38" fillId="0" borderId="20" xfId="88" applyNumberFormat="1" applyFont="1" applyFill="1" applyBorder="1" applyAlignment="1" quotePrefix="1">
      <alignment vertical="center"/>
    </xf>
    <xf numFmtId="167" fontId="38" fillId="0" borderId="24" xfId="88" applyNumberFormat="1" applyFont="1" applyFill="1" applyBorder="1" applyAlignment="1">
      <alignment vertical="center"/>
    </xf>
    <xf numFmtId="37" fontId="39" fillId="0" borderId="20" xfId="108" applyFont="1" applyFill="1" applyBorder="1" applyAlignment="1">
      <alignment horizontal="center" wrapText="1"/>
      <protection/>
    </xf>
    <xf numFmtId="0" fontId="0" fillId="0" borderId="0" xfId="0" applyFill="1"/>
    <xf numFmtId="167" fontId="39" fillId="56" borderId="26" xfId="88" applyNumberFormat="1" applyFont="1" applyFill="1" applyBorder="1" applyAlignment="1">
      <alignment vertical="center"/>
    </xf>
    <xf numFmtId="37" fontId="38" fillId="0" borderId="0" xfId="108" applyFont="1" applyFill="1" applyBorder="1">
      <alignment/>
      <protection/>
    </xf>
    <xf numFmtId="0" fontId="42" fillId="0" borderId="0" xfId="0" applyFont="1" applyFill="1" applyAlignment="1">
      <alignment horizontal="left" wrapText="1"/>
    </xf>
    <xf numFmtId="0" fontId="0" fillId="0" borderId="0" xfId="0" applyFill="1" applyAlignment="1">
      <alignment horizontal="left" wrapText="1"/>
    </xf>
    <xf numFmtId="167" fontId="38" fillId="58" borderId="19" xfId="0" applyNumberFormat="1" applyFont="1" applyFill="1" applyBorder="1"/>
    <xf numFmtId="167" fontId="38" fillId="58" borderId="25" xfId="116" applyNumberFormat="1" applyFont="1" applyFill="1" applyBorder="1" applyAlignment="1">
      <alignment horizontal="right"/>
      <protection/>
    </xf>
    <xf numFmtId="167" fontId="38" fillId="58" borderId="19" xfId="88" applyNumberFormat="1" applyFont="1" applyFill="1" applyBorder="1" applyAlignment="1">
      <alignment vertical="center"/>
    </xf>
    <xf numFmtId="167" fontId="38" fillId="0" borderId="19" xfId="88" applyNumberFormat="1" applyFont="1" applyFill="1" applyBorder="1" applyAlignment="1">
      <alignment vertical="center"/>
    </xf>
    <xf numFmtId="167" fontId="39" fillId="0" borderId="20" xfId="88" applyNumberFormat="1" applyFont="1" applyFill="1" applyBorder="1" applyAlignment="1">
      <alignment/>
    </xf>
    <xf numFmtId="167" fontId="38" fillId="0" borderId="20" xfId="18" applyNumberFormat="1" applyFont="1" applyFill="1" applyBorder="1" applyAlignment="1">
      <alignment horizontal="right" vertical="center"/>
    </xf>
    <xf numFmtId="0" fontId="39" fillId="56" borderId="0" xfId="0" applyFont="1" applyFill="1" applyAlignment="1">
      <alignment horizontal="center"/>
    </xf>
    <xf numFmtId="0" fontId="16" fillId="0" borderId="32" xfId="0" applyFont="1" applyFill="1" applyBorder="1" applyAlignment="1">
      <alignment horizontal="center"/>
    </xf>
    <xf numFmtId="0" fontId="16" fillId="60" borderId="33" xfId="0" applyFont="1" applyFill="1" applyBorder="1" applyAlignment="1">
      <alignment horizontal="center"/>
    </xf>
    <xf numFmtId="0" fontId="16" fillId="60" borderId="34" xfId="0" applyFont="1" applyFill="1" applyBorder="1" applyAlignment="1">
      <alignment horizontal="center"/>
    </xf>
    <xf numFmtId="0" fontId="16" fillId="60" borderId="29" xfId="0" applyFont="1" applyFill="1" applyBorder="1" applyAlignment="1">
      <alignment horizontal="center"/>
    </xf>
    <xf numFmtId="0" fontId="41" fillId="0" borderId="0" xfId="0" applyFont="1" applyFill="1" applyAlignment="1">
      <alignment horizontal="left" vertical="top" wrapText="1"/>
    </xf>
    <xf numFmtId="0" fontId="42" fillId="0" borderId="0" xfId="0" applyFont="1" applyFill="1" applyAlignment="1">
      <alignment horizontal="left" vertical="top" wrapText="1"/>
    </xf>
    <xf numFmtId="0" fontId="0" fillId="0" borderId="0" xfId="0" applyFont="1" applyFill="1" applyAlignment="1">
      <alignment horizontal="left" vertical="top" wrapText="1"/>
    </xf>
    <xf numFmtId="0" fontId="43" fillId="0" borderId="0" xfId="0" applyFont="1" applyFill="1" applyAlignment="1">
      <alignment horizontal="left" vertical="top" wrapText="1"/>
    </xf>
  </cellXfs>
  <cellStyles count="57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 name="Title 3" xfId="582"/>
    <cellStyle name="Normal 33" xfId="583"/>
    <cellStyle name="Normal 6 4" xfId="584"/>
    <cellStyle name="Percent 2 16" xfId="585"/>
    <cellStyle name="Comma 5 4" xfId="586"/>
    <cellStyle name="Comma 6 5" xfId="587"/>
    <cellStyle name="Percent 3 3" xfId="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workbookViewId="0" topLeftCell="A1">
      <selection activeCell="A27" sqref="A27"/>
    </sheetView>
  </sheetViews>
  <sheetFormatPr defaultColWidth="9.140625" defaultRowHeight="15"/>
  <cols>
    <col min="1" max="1" width="47.8515625" style="7" customWidth="1"/>
    <col min="2" max="4" width="14.7109375" style="7" customWidth="1"/>
    <col min="5" max="6" width="14.7109375" style="129" customWidth="1"/>
    <col min="7" max="7" width="14.7109375" style="7" customWidth="1"/>
    <col min="8" max="8" width="14.7109375" style="116" customWidth="1"/>
    <col min="9" max="9" width="14.7109375" style="7" customWidth="1"/>
    <col min="10" max="10" width="14.7109375" style="116" customWidth="1"/>
    <col min="11" max="11" width="14.7109375" style="43" customWidth="1"/>
    <col min="12" max="12" width="14.7109375" style="116" customWidth="1"/>
    <col min="13" max="13" width="2.28125" style="7" customWidth="1"/>
    <col min="14" max="15" width="15.7109375" style="7" customWidth="1"/>
    <col min="16" max="16" width="1.8515625" style="7" customWidth="1"/>
    <col min="17" max="18" width="15.7109375" style="7" customWidth="1"/>
    <col min="19" max="16384" width="9.140625" style="7" customWidth="1"/>
  </cols>
  <sheetData>
    <row r="1" spans="1:18" ht="15.75">
      <c r="A1" s="140" t="s">
        <v>46</v>
      </c>
      <c r="B1" s="140"/>
      <c r="C1" s="140"/>
      <c r="D1" s="140"/>
      <c r="E1" s="140"/>
      <c r="F1" s="140"/>
      <c r="G1" s="140"/>
      <c r="H1" s="140"/>
      <c r="I1" s="140"/>
      <c r="J1" s="123"/>
      <c r="K1" s="92"/>
      <c r="L1" s="123"/>
      <c r="M1" s="34"/>
      <c r="N1" s="34"/>
      <c r="O1" s="34"/>
      <c r="P1" s="34"/>
      <c r="Q1" s="34"/>
      <c r="R1" s="34"/>
    </row>
    <row r="2" spans="1:23" ht="15.75">
      <c r="A2" s="140" t="s">
        <v>39</v>
      </c>
      <c r="B2" s="140"/>
      <c r="C2" s="140"/>
      <c r="D2" s="140"/>
      <c r="E2" s="140"/>
      <c r="F2" s="140"/>
      <c r="G2" s="140"/>
      <c r="H2" s="140"/>
      <c r="I2" s="140"/>
      <c r="J2" s="123"/>
      <c r="K2" s="92"/>
      <c r="L2" s="123"/>
      <c r="M2" s="34"/>
      <c r="N2" s="141"/>
      <c r="O2" s="141"/>
      <c r="P2" s="141"/>
      <c r="Q2" s="141"/>
      <c r="R2" s="141"/>
      <c r="S2" s="8"/>
      <c r="T2" s="8"/>
      <c r="U2" s="8"/>
      <c r="V2" s="8"/>
      <c r="W2" s="8"/>
    </row>
    <row r="3" spans="1:23" ht="15.75">
      <c r="A3" s="39"/>
      <c r="B3" s="39"/>
      <c r="C3" s="39"/>
      <c r="D3" s="39"/>
      <c r="E3" s="124"/>
      <c r="F3" s="124"/>
      <c r="G3" s="39"/>
      <c r="H3" s="95"/>
      <c r="I3" s="119"/>
      <c r="J3" s="95"/>
      <c r="K3" s="92"/>
      <c r="L3" s="95"/>
      <c r="M3" s="34"/>
      <c r="N3" s="142" t="s">
        <v>0</v>
      </c>
      <c r="O3" s="143"/>
      <c r="P3" s="143"/>
      <c r="Q3" s="143"/>
      <c r="R3" s="144"/>
      <c r="S3" s="8"/>
      <c r="T3" s="8"/>
      <c r="U3" s="8"/>
      <c r="V3" s="8"/>
      <c r="W3" s="8"/>
    </row>
    <row r="4" spans="1:18" ht="63">
      <c r="A4" s="5" t="s">
        <v>1</v>
      </c>
      <c r="B4" s="17" t="s">
        <v>2</v>
      </c>
      <c r="C4" s="4" t="s">
        <v>3</v>
      </c>
      <c r="D4" s="4" t="s">
        <v>4</v>
      </c>
      <c r="E4" s="128" t="s">
        <v>5</v>
      </c>
      <c r="F4" s="128" t="s">
        <v>6</v>
      </c>
      <c r="G4" s="4" t="s">
        <v>7</v>
      </c>
      <c r="H4" s="96" t="s">
        <v>52</v>
      </c>
      <c r="I4" s="4" t="s">
        <v>8</v>
      </c>
      <c r="J4" s="96" t="s">
        <v>53</v>
      </c>
      <c r="K4" s="4" t="s">
        <v>47</v>
      </c>
      <c r="L4" s="96" t="s">
        <v>54</v>
      </c>
      <c r="M4" s="34"/>
      <c r="N4" s="36" t="s">
        <v>9</v>
      </c>
      <c r="O4" s="37" t="s">
        <v>10</v>
      </c>
      <c r="P4" s="34"/>
      <c r="Q4" s="36" t="s">
        <v>11</v>
      </c>
      <c r="R4" s="38" t="s">
        <v>12</v>
      </c>
    </row>
    <row r="5" spans="1:19" ht="15.75">
      <c r="A5" s="82" t="s">
        <v>13</v>
      </c>
      <c r="B5" s="83">
        <v>472507</v>
      </c>
      <c r="C5" s="84">
        <v>604367</v>
      </c>
      <c r="D5" s="84">
        <f>B32</f>
        <v>936937.0300000012</v>
      </c>
      <c r="E5" s="138">
        <f>B32</f>
        <v>936937.0300000012</v>
      </c>
      <c r="F5" s="138">
        <f>B32</f>
        <v>936937.0300000012</v>
      </c>
      <c r="G5" s="84">
        <v>663374</v>
      </c>
      <c r="H5" s="97">
        <f>F32</f>
        <v>864839.0300000012</v>
      </c>
      <c r="I5" s="84">
        <f>G32</f>
        <v>492762</v>
      </c>
      <c r="J5" s="97">
        <f>H32</f>
        <v>794290.0300000012</v>
      </c>
      <c r="K5" s="84">
        <f>I32</f>
        <v>-22553.199999999255</v>
      </c>
      <c r="L5" s="97">
        <f>J32</f>
        <v>403827.83000000194</v>
      </c>
      <c r="M5" s="34"/>
      <c r="N5" s="64">
        <f>E5-D5</f>
        <v>0</v>
      </c>
      <c r="O5" s="65">
        <f>E5/D5</f>
        <v>1</v>
      </c>
      <c r="P5" s="66"/>
      <c r="Q5" s="64">
        <f>F5-D5</f>
        <v>0</v>
      </c>
      <c r="R5" s="65">
        <f>F5/D5</f>
        <v>1</v>
      </c>
      <c r="S5" s="35"/>
    </row>
    <row r="6" spans="1:18" ht="15.75">
      <c r="A6" s="10" t="s">
        <v>14</v>
      </c>
      <c r="B6" s="20"/>
      <c r="C6" s="20"/>
      <c r="D6" s="3"/>
      <c r="E6" s="127"/>
      <c r="F6" s="127"/>
      <c r="G6" s="3"/>
      <c r="H6" s="98"/>
      <c r="I6" s="3"/>
      <c r="J6" s="98"/>
      <c r="K6" s="3"/>
      <c r="L6" s="98"/>
      <c r="M6" s="34"/>
      <c r="N6" s="67"/>
      <c r="O6" s="68"/>
      <c r="P6" s="66"/>
      <c r="Q6" s="67"/>
      <c r="R6" s="68"/>
    </row>
    <row r="7" spans="1:18" s="40" customFormat="1" ht="15.75">
      <c r="A7" s="42" t="s">
        <v>25</v>
      </c>
      <c r="B7" s="45">
        <v>5505493</v>
      </c>
      <c r="C7" s="51">
        <v>5599873</v>
      </c>
      <c r="D7" s="59">
        <v>5599873</v>
      </c>
      <c r="E7" s="135">
        <v>5890376</v>
      </c>
      <c r="F7" s="135">
        <v>5890376</v>
      </c>
      <c r="G7" s="55">
        <f>6073416</f>
        <v>6073416</v>
      </c>
      <c r="H7" s="99">
        <f>6073416-292209</f>
        <v>5781207</v>
      </c>
      <c r="I7" s="58">
        <f>6377086.8</f>
        <v>6377086.8</v>
      </c>
      <c r="J7" s="117">
        <f>6377086.8-292209-292209</f>
        <v>5792668.8</v>
      </c>
      <c r="K7" s="93">
        <v>6632170.272</v>
      </c>
      <c r="L7" s="117">
        <f>6632170-292209-292209</f>
        <v>6047752</v>
      </c>
      <c r="M7" s="41"/>
      <c r="N7" s="69">
        <f>E7-D7</f>
        <v>290503</v>
      </c>
      <c r="O7" s="70">
        <f>E7/D7</f>
        <v>1.051876712204009</v>
      </c>
      <c r="P7" s="66"/>
      <c r="Q7" s="69">
        <f>F7-D7</f>
        <v>290503</v>
      </c>
      <c r="R7" s="70">
        <f>F7/D7</f>
        <v>1.051876712204009</v>
      </c>
    </row>
    <row r="8" spans="1:18" s="40" customFormat="1" ht="15.75">
      <c r="A8" s="42" t="s">
        <v>26</v>
      </c>
      <c r="B8" s="45">
        <v>3250</v>
      </c>
      <c r="C8" s="52">
        <v>3000</v>
      </c>
      <c r="D8" s="60">
        <v>3000</v>
      </c>
      <c r="E8" s="135">
        <v>2630</v>
      </c>
      <c r="F8" s="135">
        <v>2630</v>
      </c>
      <c r="G8" s="55">
        <v>3000</v>
      </c>
      <c r="H8" s="99">
        <v>3000</v>
      </c>
      <c r="I8" s="58">
        <v>3000</v>
      </c>
      <c r="J8" s="117">
        <v>3000</v>
      </c>
      <c r="K8" s="93">
        <v>3000</v>
      </c>
      <c r="L8" s="117">
        <v>3000</v>
      </c>
      <c r="M8" s="41"/>
      <c r="N8" s="69">
        <f aca="true" t="shared" si="0" ref="N8:N18">E8-D8</f>
        <v>-370</v>
      </c>
      <c r="O8" s="70">
        <f aca="true" t="shared" si="1" ref="O8:O17">E8/D8</f>
        <v>0.8766666666666667</v>
      </c>
      <c r="P8" s="66"/>
      <c r="Q8" s="69">
        <f aca="true" t="shared" si="2" ref="Q8:Q17">F8-D8</f>
        <v>-370</v>
      </c>
      <c r="R8" s="70">
        <f aca="true" t="shared" si="3" ref="R8:R17">F8/D8</f>
        <v>0.8766666666666667</v>
      </c>
    </row>
    <row r="9" spans="1:18" s="40" customFormat="1" ht="15.75">
      <c r="A9" s="42" t="s">
        <v>27</v>
      </c>
      <c r="B9" s="45">
        <v>154257</v>
      </c>
      <c r="C9" s="51">
        <v>160000</v>
      </c>
      <c r="D9" s="59">
        <v>160000</v>
      </c>
      <c r="E9" s="135">
        <v>119625</v>
      </c>
      <c r="F9" s="135">
        <v>119625</v>
      </c>
      <c r="G9" s="55">
        <v>160000</v>
      </c>
      <c r="H9" s="99">
        <f>160000-3000</f>
        <v>157000</v>
      </c>
      <c r="I9" s="58">
        <v>163200</v>
      </c>
      <c r="J9" s="117">
        <f>163200-6000</f>
        <v>157200</v>
      </c>
      <c r="K9" s="93">
        <v>166464</v>
      </c>
      <c r="L9" s="117">
        <f>166464-6000</f>
        <v>160464</v>
      </c>
      <c r="M9" s="41"/>
      <c r="N9" s="69">
        <f t="shared" si="0"/>
        <v>-40375</v>
      </c>
      <c r="O9" s="70">
        <f t="shared" si="1"/>
        <v>0.74765625</v>
      </c>
      <c r="P9" s="66"/>
      <c r="Q9" s="69">
        <f t="shared" si="2"/>
        <v>-40375</v>
      </c>
      <c r="R9" s="70">
        <f t="shared" si="3"/>
        <v>0.74765625</v>
      </c>
    </row>
    <row r="10" spans="1:18" s="40" customFormat="1" ht="15.75">
      <c r="A10" s="42" t="s">
        <v>28</v>
      </c>
      <c r="B10" s="45">
        <v>449683</v>
      </c>
      <c r="C10" s="51">
        <v>220000</v>
      </c>
      <c r="D10" s="59">
        <v>220000</v>
      </c>
      <c r="E10" s="135">
        <v>287244</v>
      </c>
      <c r="F10" s="135">
        <v>287244</v>
      </c>
      <c r="G10" s="55">
        <v>220000</v>
      </c>
      <c r="H10" s="99">
        <f>220000-5000</f>
        <v>215000</v>
      </c>
      <c r="I10" s="58">
        <v>224400</v>
      </c>
      <c r="J10" s="117">
        <f>224400-10000</f>
        <v>214400</v>
      </c>
      <c r="K10" s="93">
        <v>228888</v>
      </c>
      <c r="L10" s="117">
        <f>228888-10000</f>
        <v>218888</v>
      </c>
      <c r="M10" s="41"/>
      <c r="N10" s="69">
        <f t="shared" si="0"/>
        <v>67244</v>
      </c>
      <c r="O10" s="70">
        <f t="shared" si="1"/>
        <v>1.3056545454545454</v>
      </c>
      <c r="P10" s="66"/>
      <c r="Q10" s="69">
        <f t="shared" si="2"/>
        <v>67244</v>
      </c>
      <c r="R10" s="70">
        <f t="shared" si="3"/>
        <v>1.3056545454545454</v>
      </c>
    </row>
    <row r="11" spans="1:18" s="40" customFormat="1" ht="15.75">
      <c r="A11" s="42" t="s">
        <v>29</v>
      </c>
      <c r="B11" s="45">
        <v>175792</v>
      </c>
      <c r="C11" s="52">
        <v>150000</v>
      </c>
      <c r="D11" s="60">
        <v>150000</v>
      </c>
      <c r="E11" s="135">
        <v>232793</v>
      </c>
      <c r="F11" s="135">
        <v>232793</v>
      </c>
      <c r="G11" s="55">
        <v>150000</v>
      </c>
      <c r="H11" s="99">
        <f>150000-5000</f>
        <v>145000</v>
      </c>
      <c r="I11" s="58">
        <v>153000</v>
      </c>
      <c r="J11" s="117">
        <f>153000-10000</f>
        <v>143000</v>
      </c>
      <c r="K11" s="93">
        <v>156060</v>
      </c>
      <c r="L11" s="117">
        <f>156060-10000</f>
        <v>146060</v>
      </c>
      <c r="M11" s="41"/>
      <c r="N11" s="69">
        <f t="shared" si="0"/>
        <v>82793</v>
      </c>
      <c r="O11" s="70">
        <f t="shared" si="1"/>
        <v>1.5519533333333333</v>
      </c>
      <c r="P11" s="66"/>
      <c r="Q11" s="69">
        <f t="shared" si="2"/>
        <v>82793</v>
      </c>
      <c r="R11" s="70">
        <f t="shared" si="3"/>
        <v>1.5519533333333333</v>
      </c>
    </row>
    <row r="12" spans="1:18" s="40" customFormat="1" ht="15.75">
      <c r="A12" s="42" t="s">
        <v>30</v>
      </c>
      <c r="B12" s="45">
        <v>1323027</v>
      </c>
      <c r="C12" s="52">
        <v>1589000</v>
      </c>
      <c r="D12" s="60">
        <v>1589000</v>
      </c>
      <c r="E12" s="135">
        <v>1367014</v>
      </c>
      <c r="F12" s="135">
        <v>1367014</v>
      </c>
      <c r="G12" s="55">
        <f>1658000</f>
        <v>1658000</v>
      </c>
      <c r="H12" s="99">
        <f>1658000+190000</f>
        <v>1848000</v>
      </c>
      <c r="I12" s="58">
        <f>1740900</f>
        <v>1740900</v>
      </c>
      <c r="J12" s="117">
        <f>1740900+190000+190000</f>
        <v>2120900</v>
      </c>
      <c r="K12" s="93">
        <v>1827945</v>
      </c>
      <c r="L12" s="117">
        <f>1827945+190000+190000</f>
        <v>2207945</v>
      </c>
      <c r="M12" s="41"/>
      <c r="N12" s="69">
        <f t="shared" si="0"/>
        <v>-221986</v>
      </c>
      <c r="O12" s="70">
        <f t="shared" si="1"/>
        <v>0.8602983008181246</v>
      </c>
      <c r="P12" s="66"/>
      <c r="Q12" s="69">
        <f t="shared" si="2"/>
        <v>-221986</v>
      </c>
      <c r="R12" s="70">
        <f t="shared" si="3"/>
        <v>0.8602983008181246</v>
      </c>
    </row>
    <row r="13" spans="1:18" s="40" customFormat="1" ht="15.75">
      <c r="A13" s="42" t="s">
        <v>31</v>
      </c>
      <c r="B13" s="45">
        <v>20390</v>
      </c>
      <c r="C13" s="51">
        <v>-6000</v>
      </c>
      <c r="D13" s="59">
        <v>-6000</v>
      </c>
      <c r="E13" s="135">
        <v>-28269</v>
      </c>
      <c r="F13" s="135">
        <v>-28269</v>
      </c>
      <c r="G13" s="55">
        <v>-12000</v>
      </c>
      <c r="H13" s="99">
        <v>-12000</v>
      </c>
      <c r="I13" s="58">
        <v>-12000</v>
      </c>
      <c r="J13" s="117">
        <v>-12000</v>
      </c>
      <c r="K13" s="93">
        <v>-12000</v>
      </c>
      <c r="L13" s="117">
        <v>-12000</v>
      </c>
      <c r="M13" s="41"/>
      <c r="N13" s="69">
        <f t="shared" si="0"/>
        <v>-22269</v>
      </c>
      <c r="O13" s="70">
        <f t="shared" si="1"/>
        <v>4.7115</v>
      </c>
      <c r="P13" s="66"/>
      <c r="Q13" s="69">
        <f t="shared" si="2"/>
        <v>-22269</v>
      </c>
      <c r="R13" s="70">
        <f t="shared" si="3"/>
        <v>4.7115</v>
      </c>
    </row>
    <row r="14" spans="1:18" s="40" customFormat="1" ht="18">
      <c r="A14" s="42" t="s">
        <v>49</v>
      </c>
      <c r="B14" s="45">
        <v>-59457</v>
      </c>
      <c r="C14" s="51">
        <v>511222</v>
      </c>
      <c r="D14" s="59">
        <v>511222</v>
      </c>
      <c r="E14" s="135">
        <v>0</v>
      </c>
      <c r="F14" s="135">
        <v>0</v>
      </c>
      <c r="G14" s="55">
        <v>511226</v>
      </c>
      <c r="H14" s="99">
        <v>511226</v>
      </c>
      <c r="I14" s="58">
        <v>511226</v>
      </c>
      <c r="J14" s="117">
        <v>511226</v>
      </c>
      <c r="K14" s="93">
        <v>511226</v>
      </c>
      <c r="L14" s="117">
        <v>511226</v>
      </c>
      <c r="M14" s="41"/>
      <c r="N14" s="69">
        <f t="shared" si="0"/>
        <v>-511222</v>
      </c>
      <c r="O14" s="70">
        <f t="shared" si="1"/>
        <v>0</v>
      </c>
      <c r="P14" s="66"/>
      <c r="Q14" s="69">
        <f t="shared" si="2"/>
        <v>-511222</v>
      </c>
      <c r="R14" s="70">
        <f t="shared" si="3"/>
        <v>0</v>
      </c>
    </row>
    <row r="15" spans="1:18" s="40" customFormat="1" ht="15.75">
      <c r="A15" s="42" t="s">
        <v>32</v>
      </c>
      <c r="B15" s="45">
        <v>-29494</v>
      </c>
      <c r="C15" s="51">
        <v>238800</v>
      </c>
      <c r="D15" s="59">
        <v>238800</v>
      </c>
      <c r="E15" s="135">
        <v>137170</v>
      </c>
      <c r="F15" s="135">
        <v>137170</v>
      </c>
      <c r="G15" s="55">
        <v>240800</v>
      </c>
      <c r="H15" s="99">
        <f>240800-1000</f>
        <v>239800</v>
      </c>
      <c r="I15" s="58">
        <v>245616</v>
      </c>
      <c r="J15" s="117">
        <f>245616-2000</f>
        <v>243616</v>
      </c>
      <c r="K15" s="93">
        <v>250528.32</v>
      </c>
      <c r="L15" s="117">
        <f>250528-2000</f>
        <v>248528</v>
      </c>
      <c r="M15" s="41"/>
      <c r="N15" s="69">
        <f t="shared" si="0"/>
        <v>-101630</v>
      </c>
      <c r="O15" s="70">
        <f t="shared" si="1"/>
        <v>0.5744137353433836</v>
      </c>
      <c r="P15" s="66"/>
      <c r="Q15" s="69">
        <f t="shared" si="2"/>
        <v>-101630</v>
      </c>
      <c r="R15" s="70">
        <f t="shared" si="3"/>
        <v>0.5744137353433836</v>
      </c>
    </row>
    <row r="16" spans="1:18" s="40" customFormat="1" ht="15.75">
      <c r="A16" s="42" t="s">
        <v>33</v>
      </c>
      <c r="B16" s="45">
        <v>5149994</v>
      </c>
      <c r="C16" s="52">
        <v>5262000</v>
      </c>
      <c r="D16" s="60">
        <v>5262000</v>
      </c>
      <c r="E16" s="135">
        <v>5262000</v>
      </c>
      <c r="F16" s="135">
        <v>5262000</v>
      </c>
      <c r="G16" s="85">
        <v>5090441</v>
      </c>
      <c r="H16" s="100">
        <f>5165712</f>
        <v>5165712</v>
      </c>
      <c r="I16" s="89">
        <f>5090441</f>
        <v>5090441</v>
      </c>
      <c r="J16" s="117">
        <f>5165712</f>
        <v>5165712</v>
      </c>
      <c r="K16" s="93">
        <v>5090441</v>
      </c>
      <c r="L16" s="117">
        <f>5165712</f>
        <v>5165712</v>
      </c>
      <c r="M16" s="41"/>
      <c r="N16" s="69">
        <f t="shared" si="0"/>
        <v>0</v>
      </c>
      <c r="O16" s="70">
        <f t="shared" si="1"/>
        <v>1</v>
      </c>
      <c r="P16" s="66"/>
      <c r="Q16" s="69">
        <f t="shared" si="2"/>
        <v>0</v>
      </c>
      <c r="R16" s="70">
        <f t="shared" si="3"/>
        <v>1</v>
      </c>
    </row>
    <row r="17" spans="1:18" s="40" customFormat="1" ht="15.75">
      <c r="A17" s="42" t="s">
        <v>34</v>
      </c>
      <c r="B17" s="45">
        <v>86228</v>
      </c>
      <c r="C17" s="51">
        <v>280000</v>
      </c>
      <c r="D17" s="59">
        <v>280000</v>
      </c>
      <c r="E17" s="135">
        <v>280000</v>
      </c>
      <c r="F17" s="135">
        <v>280000</v>
      </c>
      <c r="G17" s="55">
        <v>380000</v>
      </c>
      <c r="H17" s="99">
        <v>380000</v>
      </c>
      <c r="I17" s="58">
        <v>380000</v>
      </c>
      <c r="J17" s="117">
        <v>380000</v>
      </c>
      <c r="K17" s="93">
        <v>380000</v>
      </c>
      <c r="L17" s="117">
        <v>380000</v>
      </c>
      <c r="M17" s="41"/>
      <c r="N17" s="69">
        <f t="shared" si="0"/>
        <v>0</v>
      </c>
      <c r="O17" s="70">
        <f t="shared" si="1"/>
        <v>1</v>
      </c>
      <c r="P17" s="66"/>
      <c r="Q17" s="69">
        <f t="shared" si="2"/>
        <v>0</v>
      </c>
      <c r="R17" s="70">
        <f t="shared" si="3"/>
        <v>1</v>
      </c>
    </row>
    <row r="18" spans="1:23" ht="15.75">
      <c r="A18" s="14"/>
      <c r="B18" s="18"/>
      <c r="C18" s="18"/>
      <c r="D18" s="11"/>
      <c r="E18" s="137"/>
      <c r="F18" s="137"/>
      <c r="G18" s="11"/>
      <c r="H18" s="101"/>
      <c r="I18" s="11"/>
      <c r="J18" s="101"/>
      <c r="K18" s="11"/>
      <c r="L18" s="101"/>
      <c r="M18" s="34"/>
      <c r="N18" s="69">
        <f t="shared" si="0"/>
        <v>0</v>
      </c>
      <c r="O18" s="70"/>
      <c r="P18" s="66"/>
      <c r="Q18" s="69"/>
      <c r="R18" s="70"/>
      <c r="S18" s="32"/>
      <c r="T18" s="32"/>
      <c r="U18" s="32"/>
      <c r="V18" s="32"/>
      <c r="W18" s="31"/>
    </row>
    <row r="19" spans="1:23" ht="15.75">
      <c r="A19" s="2" t="s">
        <v>15</v>
      </c>
      <c r="B19" s="49">
        <v>12779876</v>
      </c>
      <c r="C19" s="16">
        <f aca="true" t="shared" si="4" ref="C19:I19">SUM(C7:C18)</f>
        <v>14007895</v>
      </c>
      <c r="D19" s="16">
        <f t="shared" si="4"/>
        <v>14007895</v>
      </c>
      <c r="E19" s="130">
        <f t="shared" si="4"/>
        <v>13550583</v>
      </c>
      <c r="F19" s="130">
        <f t="shared" si="4"/>
        <v>13550583</v>
      </c>
      <c r="G19" s="16">
        <f t="shared" si="4"/>
        <v>14474883</v>
      </c>
      <c r="H19" s="102">
        <f>SUM(H7:H17)</f>
        <v>14433945</v>
      </c>
      <c r="I19" s="15">
        <f t="shared" si="4"/>
        <v>14876869.8</v>
      </c>
      <c r="J19" s="104">
        <f>SUM(J7:J18)</f>
        <v>14719722.8</v>
      </c>
      <c r="K19" s="15">
        <f aca="true" t="shared" si="5" ref="K19:L19">SUM(K7:K18)</f>
        <v>15234722.592</v>
      </c>
      <c r="L19" s="104">
        <f t="shared" si="5"/>
        <v>15077575</v>
      </c>
      <c r="M19" s="34"/>
      <c r="N19" s="69">
        <f>E19-D19</f>
        <v>-457312</v>
      </c>
      <c r="O19" s="70">
        <f>E19/D19</f>
        <v>0.9673532675680393</v>
      </c>
      <c r="P19" s="66"/>
      <c r="Q19" s="69">
        <f>F19-D19</f>
        <v>-457312</v>
      </c>
      <c r="R19" s="70">
        <f>F19/D19</f>
        <v>0.9673532675680393</v>
      </c>
      <c r="S19" s="32"/>
      <c r="T19" s="32"/>
      <c r="U19" s="32"/>
      <c r="V19" s="32"/>
      <c r="W19" s="31"/>
    </row>
    <row r="20" spans="1:23" ht="15.75">
      <c r="A20" s="10" t="s">
        <v>16</v>
      </c>
      <c r="B20" s="19"/>
      <c r="C20" s="19"/>
      <c r="D20" s="3"/>
      <c r="E20" s="127"/>
      <c r="F20" s="127"/>
      <c r="G20" s="3"/>
      <c r="H20" s="98"/>
      <c r="I20" s="3"/>
      <c r="J20" s="98"/>
      <c r="K20" s="3"/>
      <c r="L20" s="98"/>
      <c r="M20" s="34"/>
      <c r="N20" s="67"/>
      <c r="O20" s="71"/>
      <c r="P20" s="66"/>
      <c r="Q20" s="67"/>
      <c r="R20" s="71"/>
      <c r="S20" s="32"/>
      <c r="T20" s="32"/>
      <c r="U20" s="32"/>
      <c r="V20" s="32"/>
      <c r="W20" s="31"/>
    </row>
    <row r="21" spans="1:23" s="43" customFormat="1" ht="15.75">
      <c r="A21" s="46" t="s">
        <v>35</v>
      </c>
      <c r="B21" s="47">
        <v>-7757594.43</v>
      </c>
      <c r="C21" s="62">
        <v>-8965661</v>
      </c>
      <c r="D21" s="62">
        <v>-8965661</v>
      </c>
      <c r="E21" s="134">
        <v>-7908565</v>
      </c>
      <c r="F21" s="134">
        <v>-7908565</v>
      </c>
      <c r="G21" s="56">
        <v>-8926914</v>
      </c>
      <c r="H21" s="103">
        <v>-8926913</v>
      </c>
      <c r="I21" s="81">
        <v>-9377773</v>
      </c>
      <c r="J21" s="118">
        <v>-9377773</v>
      </c>
      <c r="K21" s="94">
        <v>-9914533</v>
      </c>
      <c r="L21" s="118">
        <v>-9914533</v>
      </c>
      <c r="M21" s="44"/>
      <c r="N21" s="69">
        <f>E21-D21</f>
        <v>1057096</v>
      </c>
      <c r="O21" s="70">
        <f>E21/D21</f>
        <v>0.8820950290224</v>
      </c>
      <c r="P21" s="66"/>
      <c r="Q21" s="69">
        <f>F21-D21</f>
        <v>1057096</v>
      </c>
      <c r="R21" s="70">
        <f>F21/D21</f>
        <v>0.8820950290224</v>
      </c>
      <c r="S21" s="32"/>
      <c r="T21" s="32"/>
      <c r="U21" s="32"/>
      <c r="V21" s="32"/>
      <c r="W21" s="31"/>
    </row>
    <row r="22" spans="1:23" s="43" customFormat="1" ht="15.75">
      <c r="A22" s="46" t="s">
        <v>36</v>
      </c>
      <c r="B22" s="48">
        <v>-683874</v>
      </c>
      <c r="C22" s="53">
        <v>-60000</v>
      </c>
      <c r="D22" s="11">
        <v>-138838</v>
      </c>
      <c r="E22" s="134">
        <v>-216196</v>
      </c>
      <c r="F22" s="134">
        <v>-216196</v>
      </c>
      <c r="G22" s="56">
        <v>-60000</v>
      </c>
      <c r="H22" s="103">
        <v>-60000</v>
      </c>
      <c r="I22" s="81">
        <v>-60000</v>
      </c>
      <c r="J22" s="118">
        <v>-60000</v>
      </c>
      <c r="K22" s="94">
        <v>-60000</v>
      </c>
      <c r="L22" s="118">
        <v>-60000</v>
      </c>
      <c r="M22" s="44"/>
      <c r="N22" s="69">
        <f aca="true" t="shared" si="6" ref="N22:N24">E22-D22</f>
        <v>-77358</v>
      </c>
      <c r="O22" s="70">
        <f aca="true" t="shared" si="7" ref="O22:O24">E22/D22</f>
        <v>1.5571817513937107</v>
      </c>
      <c r="P22" s="66"/>
      <c r="Q22" s="69">
        <f aca="true" t="shared" si="8" ref="Q22:Q24">F22-D22</f>
        <v>-77358</v>
      </c>
      <c r="R22" s="70">
        <f aca="true" t="shared" si="9" ref="R22:R24">F22/D22</f>
        <v>1.5571817513937107</v>
      </c>
      <c r="S22" s="32"/>
      <c r="T22" s="32"/>
      <c r="U22" s="32"/>
      <c r="V22" s="32"/>
      <c r="W22" s="31"/>
    </row>
    <row r="23" spans="1:23" s="43" customFormat="1" ht="15.75">
      <c r="A23" s="46" t="s">
        <v>37</v>
      </c>
      <c r="B23" s="47">
        <v>-1175033.85</v>
      </c>
      <c r="C23" s="53">
        <v>-2026021</v>
      </c>
      <c r="D23" s="11">
        <v>-2052130</v>
      </c>
      <c r="E23" s="134">
        <v>-1561468</v>
      </c>
      <c r="F23" s="134">
        <v>-1561468</v>
      </c>
      <c r="G23" s="56">
        <f>-2244064</f>
        <v>-2244064</v>
      </c>
      <c r="H23" s="103">
        <f>-2244064+16000</f>
        <v>-2228064</v>
      </c>
      <c r="I23" s="81">
        <v>-2244064</v>
      </c>
      <c r="J23" s="118">
        <f>-2244064+16000+16000</f>
        <v>-2212064</v>
      </c>
      <c r="K23" s="94">
        <v>-2244064</v>
      </c>
      <c r="L23" s="118">
        <f>-2244064+16000+16000</f>
        <v>-2212064</v>
      </c>
      <c r="M23" s="44"/>
      <c r="N23" s="69">
        <f t="shared" si="6"/>
        <v>490662</v>
      </c>
      <c r="O23" s="70">
        <f t="shared" si="7"/>
        <v>0.7609011125026193</v>
      </c>
      <c r="P23" s="66"/>
      <c r="Q23" s="69">
        <f t="shared" si="8"/>
        <v>490662</v>
      </c>
      <c r="R23" s="70">
        <f t="shared" si="9"/>
        <v>0.7609011125026193</v>
      </c>
      <c r="S23" s="32"/>
      <c r="T23" s="32"/>
      <c r="U23" s="32"/>
      <c r="V23" s="32"/>
      <c r="W23" s="31"/>
    </row>
    <row r="24" spans="1:23" s="43" customFormat="1" ht="15.75">
      <c r="A24" s="46" t="s">
        <v>38</v>
      </c>
      <c r="B24" s="48">
        <v>-2698943.69</v>
      </c>
      <c r="C24" s="61">
        <v>-3146165</v>
      </c>
      <c r="D24" s="61">
        <v>-3146165</v>
      </c>
      <c r="E24" s="134">
        <v>-3186452</v>
      </c>
      <c r="F24" s="134">
        <v>-3186452</v>
      </c>
      <c r="G24" s="56">
        <f>-3414517</f>
        <v>-3414517</v>
      </c>
      <c r="H24" s="103">
        <f>-3414517+125000</f>
        <v>-3289517</v>
      </c>
      <c r="I24" s="81">
        <v>-3710348</v>
      </c>
      <c r="J24" s="118">
        <f>-3710348+125000+125000</f>
        <v>-3460348</v>
      </c>
      <c r="K24" s="94">
        <v>-4057921</v>
      </c>
      <c r="L24" s="118">
        <f>-4057921+125000+125000</f>
        <v>-3807921</v>
      </c>
      <c r="M24" s="44"/>
      <c r="N24" s="69">
        <f t="shared" si="6"/>
        <v>-40287</v>
      </c>
      <c r="O24" s="70">
        <f t="shared" si="7"/>
        <v>1.0128051135271037</v>
      </c>
      <c r="P24" s="66"/>
      <c r="Q24" s="69">
        <f t="shared" si="8"/>
        <v>-40287</v>
      </c>
      <c r="R24" s="70">
        <f t="shared" si="9"/>
        <v>1.0128051135271037</v>
      </c>
      <c r="S24" s="32"/>
      <c r="T24" s="32"/>
      <c r="U24" s="32"/>
      <c r="V24" s="32"/>
      <c r="W24" s="31"/>
    </row>
    <row r="25" spans="1:18" ht="15.75">
      <c r="A25" s="14"/>
      <c r="B25" s="18"/>
      <c r="C25" s="18"/>
      <c r="D25" s="11"/>
      <c r="E25" s="134"/>
      <c r="F25" s="134"/>
      <c r="G25" s="11"/>
      <c r="H25" s="101"/>
      <c r="I25" s="11"/>
      <c r="J25" s="101"/>
      <c r="K25" s="11"/>
      <c r="L25" s="101"/>
      <c r="M25" s="34"/>
      <c r="N25" s="69"/>
      <c r="O25" s="72"/>
      <c r="P25" s="66"/>
      <c r="Q25" s="69"/>
      <c r="R25" s="72"/>
    </row>
    <row r="26" spans="1:18" ht="15.75">
      <c r="A26" s="2" t="s">
        <v>17</v>
      </c>
      <c r="B26" s="86">
        <f aca="true" t="shared" si="10" ref="B26:I26">SUM(B21:B25)</f>
        <v>-12315445.969999999</v>
      </c>
      <c r="C26" s="86">
        <f t="shared" si="10"/>
        <v>-14197847</v>
      </c>
      <c r="D26" s="86">
        <f t="shared" si="10"/>
        <v>-14302794</v>
      </c>
      <c r="E26" s="134">
        <f t="shared" si="10"/>
        <v>-12872681</v>
      </c>
      <c r="F26" s="134">
        <f t="shared" si="10"/>
        <v>-12872681</v>
      </c>
      <c r="G26" s="86">
        <f t="shared" si="10"/>
        <v>-14645495</v>
      </c>
      <c r="H26" s="104">
        <f>SUM(H21:H24)</f>
        <v>-14504494</v>
      </c>
      <c r="I26" s="86">
        <f t="shared" si="10"/>
        <v>-15392185</v>
      </c>
      <c r="J26" s="104">
        <f>SUM(J21:J24)</f>
        <v>-15110185</v>
      </c>
      <c r="K26" s="86">
        <f aca="true" t="shared" si="11" ref="K26:L26">SUM(K21:K25)</f>
        <v>-16276518</v>
      </c>
      <c r="L26" s="104">
        <f t="shared" si="11"/>
        <v>-15994518</v>
      </c>
      <c r="M26" s="34"/>
      <c r="N26" s="69">
        <f>E26-D26</f>
        <v>1430113</v>
      </c>
      <c r="O26" s="73">
        <f>E26/D26</f>
        <v>0.9000116340905141</v>
      </c>
      <c r="P26" s="66"/>
      <c r="Q26" s="69">
        <f>F26-D26</f>
        <v>1430113</v>
      </c>
      <c r="R26" s="73">
        <f>F26/D26</f>
        <v>0.9000116340905141</v>
      </c>
    </row>
    <row r="27" spans="1:18" ht="18">
      <c r="A27" s="1" t="s">
        <v>18</v>
      </c>
      <c r="B27" s="87"/>
      <c r="C27" s="87"/>
      <c r="D27" s="87"/>
      <c r="E27" s="139"/>
      <c r="F27" s="139"/>
      <c r="G27" s="88"/>
      <c r="H27" s="105"/>
      <c r="I27" s="88"/>
      <c r="J27" s="105"/>
      <c r="K27" s="88"/>
      <c r="L27" s="105"/>
      <c r="M27" s="34"/>
      <c r="N27" s="74">
        <f>E27-D27</f>
        <v>0</v>
      </c>
      <c r="O27" s="74">
        <f>F27-E27</f>
        <v>0</v>
      </c>
      <c r="P27" s="66"/>
      <c r="Q27" s="74">
        <f>F27-D27</f>
        <v>0</v>
      </c>
      <c r="R27" s="74">
        <f>G27-E27</f>
        <v>0</v>
      </c>
    </row>
    <row r="28" spans="1:18" ht="18">
      <c r="A28" s="10" t="s">
        <v>50</v>
      </c>
      <c r="B28" s="61"/>
      <c r="C28" s="61"/>
      <c r="D28" s="61"/>
      <c r="E28" s="136"/>
      <c r="F28" s="136"/>
      <c r="G28" s="61"/>
      <c r="H28" s="106"/>
      <c r="I28" s="61"/>
      <c r="J28" s="106"/>
      <c r="K28" s="61"/>
      <c r="L28" s="106"/>
      <c r="M28" s="34"/>
      <c r="N28" s="67"/>
      <c r="O28" s="71"/>
      <c r="P28" s="66"/>
      <c r="Q28" s="67"/>
      <c r="R28" s="71"/>
    </row>
    <row r="29" spans="1:18" s="43" customFormat="1" ht="15.75">
      <c r="A29" s="63" t="s">
        <v>40</v>
      </c>
      <c r="B29" s="61"/>
      <c r="C29" s="61"/>
      <c r="D29" s="61"/>
      <c r="E29" s="136">
        <v>-750000</v>
      </c>
      <c r="F29" s="136">
        <v>-750000</v>
      </c>
      <c r="G29" s="61"/>
      <c r="H29" s="106"/>
      <c r="I29" s="61"/>
      <c r="J29" s="106"/>
      <c r="K29" s="61"/>
      <c r="L29" s="106"/>
      <c r="M29" s="44"/>
      <c r="N29" s="69">
        <f>E29-D29</f>
        <v>-750000</v>
      </c>
      <c r="O29" s="69"/>
      <c r="P29" s="66"/>
      <c r="Q29" s="90">
        <f>F29-D29</f>
        <v>-750000</v>
      </c>
      <c r="R29" s="69"/>
    </row>
    <row r="30" spans="1:18" ht="15.75">
      <c r="A30" s="6"/>
      <c r="B30" s="61"/>
      <c r="C30" s="61"/>
      <c r="D30" s="61"/>
      <c r="E30" s="136"/>
      <c r="F30" s="136"/>
      <c r="G30" s="61"/>
      <c r="H30" s="106"/>
      <c r="I30" s="61"/>
      <c r="J30" s="106"/>
      <c r="K30" s="61"/>
      <c r="L30" s="106"/>
      <c r="M30" s="34"/>
      <c r="N30" s="69"/>
      <c r="O30" s="72"/>
      <c r="P30" s="66"/>
      <c r="Q30" s="90"/>
      <c r="R30" s="72"/>
    </row>
    <row r="31" spans="1:18" ht="15.75">
      <c r="A31" s="10" t="s">
        <v>19</v>
      </c>
      <c r="B31" s="61">
        <f aca="true" t="shared" si="12" ref="B31:I31">SUM(B30:B30)</f>
        <v>0</v>
      </c>
      <c r="C31" s="61">
        <f t="shared" si="12"/>
        <v>0</v>
      </c>
      <c r="D31" s="61">
        <f t="shared" si="12"/>
        <v>0</v>
      </c>
      <c r="E31" s="136">
        <f>SUM(E29:E30)</f>
        <v>-750000</v>
      </c>
      <c r="F31" s="136">
        <f>SUM(F29:F30)</f>
        <v>-750000</v>
      </c>
      <c r="G31" s="61">
        <f t="shared" si="12"/>
        <v>0</v>
      </c>
      <c r="H31" s="106"/>
      <c r="I31" s="61">
        <f t="shared" si="12"/>
        <v>0</v>
      </c>
      <c r="J31" s="106"/>
      <c r="K31" s="61">
        <f aca="true" t="shared" si="13" ref="K31:L31">SUM(K30:K30)</f>
        <v>0</v>
      </c>
      <c r="L31" s="106">
        <f t="shared" si="13"/>
        <v>0</v>
      </c>
      <c r="M31" s="34"/>
      <c r="N31" s="76">
        <f>E31-D31</f>
        <v>-750000</v>
      </c>
      <c r="O31" s="69">
        <f>F31-E31</f>
        <v>0</v>
      </c>
      <c r="P31" s="66"/>
      <c r="Q31" s="91">
        <f>F31-D31</f>
        <v>-750000</v>
      </c>
      <c r="R31" s="69"/>
    </row>
    <row r="32" spans="1:18" ht="15.75">
      <c r="A32" s="1" t="s">
        <v>20</v>
      </c>
      <c r="B32" s="24">
        <f aca="true" t="shared" si="14" ref="B32:I32">B5+B19+B26+B27+B31</f>
        <v>936937.0300000012</v>
      </c>
      <c r="C32" s="24">
        <f t="shared" si="14"/>
        <v>414415</v>
      </c>
      <c r="D32" s="24">
        <f t="shared" si="14"/>
        <v>642038.0300000012</v>
      </c>
      <c r="E32" s="126">
        <f t="shared" si="14"/>
        <v>864839.0300000012</v>
      </c>
      <c r="F32" s="126">
        <f t="shared" si="14"/>
        <v>864839.0300000012</v>
      </c>
      <c r="G32" s="24">
        <f>G5+G19+G26+G27+G31</f>
        <v>492762</v>
      </c>
      <c r="H32" s="107">
        <f>H5+H19+H26</f>
        <v>794290.0300000012</v>
      </c>
      <c r="I32" s="24">
        <f t="shared" si="14"/>
        <v>-22553.199999999255</v>
      </c>
      <c r="J32" s="107">
        <f>J5+J19+J26</f>
        <v>403827.83000000194</v>
      </c>
      <c r="K32" s="24">
        <f aca="true" t="shared" si="15" ref="K32:L32">K5+K19+K26+K27+K31</f>
        <v>-1064348.607999999</v>
      </c>
      <c r="L32" s="107">
        <f t="shared" si="15"/>
        <v>-513115.16999999806</v>
      </c>
      <c r="M32" s="34"/>
      <c r="N32" s="74">
        <f>E32-D32</f>
        <v>222801</v>
      </c>
      <c r="O32" s="75">
        <f>E32/D32</f>
        <v>1.347021499645433</v>
      </c>
      <c r="P32" s="66"/>
      <c r="Q32" s="74">
        <f>F32-D32</f>
        <v>222801</v>
      </c>
      <c r="R32" s="75">
        <f>F32/D32</f>
        <v>1.347021499645433</v>
      </c>
    </row>
    <row r="33" spans="1:18" ht="15.75">
      <c r="A33" s="10" t="s">
        <v>51</v>
      </c>
      <c r="B33" s="10"/>
      <c r="C33" s="10"/>
      <c r="D33" s="11"/>
      <c r="E33" s="136"/>
      <c r="F33" s="136"/>
      <c r="G33" s="11"/>
      <c r="H33" s="101"/>
      <c r="I33" s="11"/>
      <c r="J33" s="101"/>
      <c r="K33" s="11"/>
      <c r="L33" s="101"/>
      <c r="M33" s="34"/>
      <c r="N33" s="67"/>
      <c r="O33" s="77"/>
      <c r="P33" s="66"/>
      <c r="Q33" s="67"/>
      <c r="R33" s="77"/>
    </row>
    <row r="34" spans="1:18" ht="15.75">
      <c r="A34" s="14" t="s">
        <v>21</v>
      </c>
      <c r="B34" s="50">
        <v>-150000</v>
      </c>
      <c r="C34" s="54">
        <v>-150000</v>
      </c>
      <c r="D34" s="57">
        <v>-150000</v>
      </c>
      <c r="E34" s="136">
        <v>-150000</v>
      </c>
      <c r="F34" s="136">
        <v>-150000</v>
      </c>
      <c r="G34" s="57">
        <v>-150000</v>
      </c>
      <c r="H34" s="108">
        <v>-150000</v>
      </c>
      <c r="I34" s="57">
        <v>-150000</v>
      </c>
      <c r="J34" s="108">
        <v>-150000</v>
      </c>
      <c r="K34" s="57">
        <v>-150000</v>
      </c>
      <c r="L34" s="108">
        <v>-150000</v>
      </c>
      <c r="M34" s="34"/>
      <c r="N34" s="69">
        <f>E34-D34</f>
        <v>0</v>
      </c>
      <c r="O34" s="70"/>
      <c r="P34" s="66"/>
      <c r="Q34" s="69">
        <f>F34-D34</f>
        <v>0</v>
      </c>
      <c r="R34" s="70"/>
    </row>
    <row r="35" spans="1:18" ht="15.75">
      <c r="A35" s="14"/>
      <c r="B35" s="13"/>
      <c r="C35" s="13"/>
      <c r="D35" s="13"/>
      <c r="E35" s="136"/>
      <c r="F35" s="136"/>
      <c r="G35" s="13"/>
      <c r="H35" s="109"/>
      <c r="I35" s="13"/>
      <c r="J35" s="109"/>
      <c r="K35" s="13"/>
      <c r="L35" s="109"/>
      <c r="M35" s="34"/>
      <c r="N35" s="69">
        <f>E35-D35</f>
        <v>0</v>
      </c>
      <c r="O35" s="70"/>
      <c r="P35" s="66"/>
      <c r="Q35" s="69">
        <f>F35-D35</f>
        <v>0</v>
      </c>
      <c r="R35" s="70"/>
    </row>
    <row r="36" spans="1:18" ht="15.75">
      <c r="A36" s="10" t="s">
        <v>22</v>
      </c>
      <c r="B36" s="9">
        <f aca="true" t="shared" si="16" ref="B36:J36">SUM(B34:B35)</f>
        <v>-150000</v>
      </c>
      <c r="C36" s="9">
        <f t="shared" si="16"/>
        <v>-150000</v>
      </c>
      <c r="D36" s="9">
        <f t="shared" si="16"/>
        <v>-150000</v>
      </c>
      <c r="E36" s="136">
        <f t="shared" si="16"/>
        <v>-150000</v>
      </c>
      <c r="F36" s="136">
        <f t="shared" si="16"/>
        <v>-150000</v>
      </c>
      <c r="G36" s="9">
        <f t="shared" si="16"/>
        <v>-150000</v>
      </c>
      <c r="H36" s="110">
        <f t="shared" si="16"/>
        <v>-150000</v>
      </c>
      <c r="I36" s="9">
        <f t="shared" si="16"/>
        <v>-150000</v>
      </c>
      <c r="J36" s="110">
        <f t="shared" si="16"/>
        <v>-150000</v>
      </c>
      <c r="K36" s="9">
        <f aca="true" t="shared" si="17" ref="K36:L36">SUM(K34:K35)</f>
        <v>-150000</v>
      </c>
      <c r="L36" s="110">
        <f t="shared" si="17"/>
        <v>-150000</v>
      </c>
      <c r="M36" s="34"/>
      <c r="N36" s="69">
        <f>E36-D36</f>
        <v>0</v>
      </c>
      <c r="O36" s="70">
        <f>E36/D36</f>
        <v>1</v>
      </c>
      <c r="P36" s="66"/>
      <c r="Q36" s="69">
        <f>F36-D36</f>
        <v>0</v>
      </c>
      <c r="R36" s="70">
        <f>F36/D36</f>
        <v>1</v>
      </c>
    </row>
    <row r="37" spans="1:18" ht="15.75">
      <c r="A37" s="12" t="s">
        <v>23</v>
      </c>
      <c r="B37" s="11">
        <f aca="true" t="shared" si="18" ref="B37:I37">ABS(IF(B32+B36&gt;0,0,B32+B36))</f>
        <v>0</v>
      </c>
      <c r="C37" s="11">
        <f t="shared" si="18"/>
        <v>0</v>
      </c>
      <c r="D37" s="11">
        <f t="shared" si="18"/>
        <v>0</v>
      </c>
      <c r="E37" s="136">
        <f t="shared" si="18"/>
        <v>0</v>
      </c>
      <c r="F37" s="136">
        <f t="shared" si="18"/>
        <v>0</v>
      </c>
      <c r="G37" s="11">
        <f t="shared" si="18"/>
        <v>0</v>
      </c>
      <c r="H37" s="101"/>
      <c r="I37" s="11">
        <f t="shared" si="18"/>
        <v>172553.19999999925</v>
      </c>
      <c r="J37" s="101"/>
      <c r="K37" s="11">
        <f aca="true" t="shared" si="19" ref="K37:L37">ABS(IF(K32+K36&gt;0,0,K32+K36))</f>
        <v>1214348.607999999</v>
      </c>
      <c r="L37" s="101">
        <f t="shared" si="19"/>
        <v>663115.1699999981</v>
      </c>
      <c r="M37" s="34"/>
      <c r="N37" s="69">
        <f>E37-D37</f>
        <v>0</v>
      </c>
      <c r="O37" s="70" t="e">
        <f>E37/D37</f>
        <v>#DIV/0!</v>
      </c>
      <c r="P37" s="66"/>
      <c r="Q37" s="69">
        <f>F37-D37</f>
        <v>0</v>
      </c>
      <c r="R37" s="70" t="e">
        <f>F37/D37</f>
        <v>#DIV/0!</v>
      </c>
    </row>
    <row r="38" spans="1:18" ht="15.75">
      <c r="A38" s="2"/>
      <c r="B38" s="2"/>
      <c r="C38" s="2"/>
      <c r="D38" s="27"/>
      <c r="E38" s="136"/>
      <c r="F38" s="136"/>
      <c r="G38" s="27"/>
      <c r="H38" s="111"/>
      <c r="I38" s="27"/>
      <c r="J38" s="111"/>
      <c r="K38" s="27"/>
      <c r="L38" s="111"/>
      <c r="M38" s="34"/>
      <c r="N38" s="78"/>
      <c r="O38" s="77"/>
      <c r="P38" s="66"/>
      <c r="Q38" s="78"/>
      <c r="R38" s="77"/>
    </row>
    <row r="39" spans="1:18" ht="15.75">
      <c r="A39" s="1" t="s">
        <v>24</v>
      </c>
      <c r="B39" s="21">
        <f aca="true" t="shared" si="20" ref="B39:J39">ROUND(B32+B36+B37,0)</f>
        <v>786937</v>
      </c>
      <c r="C39" s="21">
        <f t="shared" si="20"/>
        <v>264415</v>
      </c>
      <c r="D39" s="21">
        <f t="shared" si="20"/>
        <v>492038</v>
      </c>
      <c r="E39" s="125">
        <f t="shared" si="20"/>
        <v>714839</v>
      </c>
      <c r="F39" s="125">
        <f t="shared" si="20"/>
        <v>714839</v>
      </c>
      <c r="G39" s="21">
        <f t="shared" si="20"/>
        <v>342762</v>
      </c>
      <c r="H39" s="112">
        <f t="shared" si="20"/>
        <v>644290</v>
      </c>
      <c r="I39" s="21">
        <f t="shared" si="20"/>
        <v>0</v>
      </c>
      <c r="J39" s="112">
        <f t="shared" si="20"/>
        <v>253828</v>
      </c>
      <c r="K39" s="21">
        <f aca="true" t="shared" si="21" ref="K39:L39">ROUND(K32+K36+K37,0)</f>
        <v>0</v>
      </c>
      <c r="L39" s="112">
        <f t="shared" si="21"/>
        <v>0</v>
      </c>
      <c r="M39" s="34"/>
      <c r="N39" s="79">
        <f>E39-D39</f>
        <v>222801</v>
      </c>
      <c r="O39" s="80">
        <f>E39/D39</f>
        <v>1.4528125876456697</v>
      </c>
      <c r="P39" s="66"/>
      <c r="Q39" s="79">
        <f>F39-D39</f>
        <v>222801</v>
      </c>
      <c r="R39" s="80">
        <f>F39/D39</f>
        <v>1.4528125876456697</v>
      </c>
    </row>
    <row r="41" spans="1:12" ht="15.75">
      <c r="A41" s="22" t="s">
        <v>48</v>
      </c>
      <c r="B41" s="22"/>
      <c r="C41" s="22"/>
      <c r="D41" s="23"/>
      <c r="E41" s="131"/>
      <c r="F41" s="131"/>
      <c r="G41" s="23"/>
      <c r="H41" s="113"/>
      <c r="I41" s="23"/>
      <c r="J41" s="113"/>
      <c r="K41" s="23"/>
      <c r="L41" s="113"/>
    </row>
    <row r="42" spans="1:12" ht="17.25" customHeight="1">
      <c r="A42" s="28" t="s">
        <v>41</v>
      </c>
      <c r="B42" s="29"/>
      <c r="C42" s="29"/>
      <c r="D42" s="29"/>
      <c r="E42" s="131"/>
      <c r="F42" s="131"/>
      <c r="G42" s="23"/>
      <c r="H42" s="113"/>
      <c r="I42" s="23"/>
      <c r="J42" s="113"/>
      <c r="K42" s="23"/>
      <c r="L42" s="113"/>
    </row>
    <row r="43" spans="1:12" ht="17.25" customHeight="1">
      <c r="A43" s="33" t="s">
        <v>42</v>
      </c>
      <c r="B43" s="29"/>
      <c r="C43" s="29"/>
      <c r="D43" s="29"/>
      <c r="E43" s="131"/>
      <c r="F43" s="131"/>
      <c r="G43" s="23"/>
      <c r="H43" s="113"/>
      <c r="I43" s="23"/>
      <c r="J43" s="113"/>
      <c r="K43" s="23"/>
      <c r="L43" s="113"/>
    </row>
    <row r="44" spans="1:12" ht="17.25" customHeight="1">
      <c r="A44" s="33" t="s">
        <v>43</v>
      </c>
      <c r="B44" s="28"/>
      <c r="C44" s="28"/>
      <c r="D44" s="28"/>
      <c r="E44" s="132"/>
      <c r="F44" s="132"/>
      <c r="G44" s="25"/>
      <c r="H44" s="114"/>
      <c r="I44" s="120"/>
      <c r="J44" s="114"/>
      <c r="K44" s="120"/>
      <c r="L44" s="114"/>
    </row>
    <row r="45" spans="1:12" ht="15.75" customHeight="1">
      <c r="A45" s="33" t="s">
        <v>44</v>
      </c>
      <c r="B45" s="28"/>
      <c r="C45" s="28"/>
      <c r="D45" s="28"/>
      <c r="E45" s="132"/>
      <c r="F45" s="132"/>
      <c r="G45" s="25"/>
      <c r="H45" s="114"/>
      <c r="I45" s="121"/>
      <c r="J45" s="114"/>
      <c r="K45" s="121"/>
      <c r="L45" s="114"/>
    </row>
    <row r="46" spans="1:12" ht="15.75" customHeight="1">
      <c r="A46" s="28" t="s">
        <v>45</v>
      </c>
      <c r="B46" s="28"/>
      <c r="C46" s="28"/>
      <c r="D46" s="28"/>
      <c r="E46" s="132"/>
      <c r="F46" s="132"/>
      <c r="G46" s="25"/>
      <c r="H46" s="114"/>
      <c r="I46" s="122"/>
      <c r="J46" s="114"/>
      <c r="K46" s="122"/>
      <c r="L46" s="114"/>
    </row>
    <row r="47" spans="1:12" ht="18.75" customHeight="1">
      <c r="A47" s="30" t="s">
        <v>59</v>
      </c>
      <c r="B47" s="28"/>
      <c r="C47" s="28"/>
      <c r="D47" s="28"/>
      <c r="E47" s="133"/>
      <c r="F47" s="133"/>
      <c r="G47" s="26"/>
      <c r="H47" s="115"/>
      <c r="I47" s="26"/>
      <c r="J47" s="115"/>
      <c r="K47" s="26"/>
      <c r="L47" s="115"/>
    </row>
    <row r="48" spans="1:12" s="43" customFormat="1" ht="60.75" customHeight="1">
      <c r="A48" s="148" t="s">
        <v>60</v>
      </c>
      <c r="B48" s="148"/>
      <c r="C48" s="148"/>
      <c r="D48" s="148"/>
      <c r="E48" s="148"/>
      <c r="F48" s="148"/>
      <c r="G48" s="133"/>
      <c r="H48" s="115"/>
      <c r="I48" s="133"/>
      <c r="J48" s="115"/>
      <c r="K48" s="133"/>
      <c r="L48" s="115"/>
    </row>
    <row r="49" spans="1:12" ht="60.75" customHeight="1">
      <c r="A49" s="147" t="s">
        <v>55</v>
      </c>
      <c r="B49" s="148"/>
      <c r="C49" s="148"/>
      <c r="D49" s="148"/>
      <c r="E49" s="148"/>
      <c r="F49" s="148"/>
      <c r="H49" s="116"/>
      <c r="J49" s="116"/>
      <c r="K49" s="43"/>
      <c r="L49" s="116"/>
    </row>
    <row r="50" spans="1:12" ht="18.75" customHeight="1">
      <c r="A50" s="33" t="s">
        <v>56</v>
      </c>
      <c r="B50" s="28"/>
      <c r="C50" s="28"/>
      <c r="D50" s="28"/>
      <c r="E50" s="132"/>
      <c r="F50" s="132"/>
      <c r="G50" s="25"/>
      <c r="H50" s="114"/>
      <c r="I50" s="25"/>
      <c r="J50" s="114"/>
      <c r="K50" s="25"/>
      <c r="L50" s="114"/>
    </row>
    <row r="51" spans="1:12" ht="60.75" customHeight="1">
      <c r="A51" s="145" t="s">
        <v>57</v>
      </c>
      <c r="B51" s="146"/>
      <c r="C51" s="146"/>
      <c r="D51" s="146"/>
      <c r="E51" s="146"/>
      <c r="F51" s="146"/>
      <c r="G51" s="25"/>
      <c r="H51" s="114"/>
      <c r="I51" s="25"/>
      <c r="J51" s="114"/>
      <c r="K51" s="25"/>
      <c r="L51" s="114"/>
    </row>
    <row r="52" ht="19.5" customHeight="1">
      <c r="A52" s="33" t="s">
        <v>58</v>
      </c>
    </row>
  </sheetData>
  <mergeCells count="7">
    <mergeCell ref="A1:I1"/>
    <mergeCell ref="A2:I2"/>
    <mergeCell ref="N2:R2"/>
    <mergeCell ref="N3:R3"/>
    <mergeCell ref="A51:F51"/>
    <mergeCell ref="A49:F49"/>
    <mergeCell ref="A48:F48"/>
  </mergeCells>
  <printOptions headings="1"/>
  <pageMargins left="0.5" right="0.5" top="0.75" bottom="0.75" header="0.3" footer="0.3"/>
  <pageSetup fitToHeight="1" fitToWidth="1" horizontalDpi="600" verticalDpi="600" orientation="landscape" paperSize="17" scale="7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DE6C55BB8A4042B8AC2C83A941821E" ma:contentTypeVersion="2" ma:contentTypeDescription="Create a new document." ma:contentTypeScope="" ma:versionID="95d9c66432017a669a583c4456060445">
  <xsd:schema xmlns:xsd="http://www.w3.org/2001/XMLSchema" xmlns:xs="http://www.w3.org/2001/XMLSchema" xmlns:p="http://schemas.microsoft.com/office/2006/metadata/properties" xmlns:ns1="http://schemas.microsoft.com/sharepoint/v3" xmlns:ns2="0edc343a-53c0-4aad-ba1e-03670b7797c9" targetNamespace="http://schemas.microsoft.com/office/2006/metadata/properties" ma:root="true" ma:fieldsID="77320e8566fdec79bb262aaf820bd535" ns1:_="" ns2:_="">
    <xsd:import namespace="http://schemas.microsoft.com/sharepoint/v3"/>
    <xsd:import namespace="0edc343a-53c0-4aad-ba1e-03670b7797c9"/>
    <xsd:element name="properties">
      <xsd:complexType>
        <xsd:sequence>
          <xsd:element name="documentManagement">
            <xsd:complexType>
              <xsd:all>
                <xsd:element ref="ns1:AssignedTo"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8D2A7B-8080-4A9C-A037-A943019CE324}">
  <ds:schemaRefs>
    <ds:schemaRef ds:uri="http://schemas.microsoft.com/sharepoint/v3/contenttype/forms"/>
  </ds:schemaRefs>
</ds:datastoreItem>
</file>

<file path=customXml/itemProps2.xml><?xml version="1.0" encoding="utf-8"?>
<ds:datastoreItem xmlns:ds="http://schemas.openxmlformats.org/officeDocument/2006/customXml" ds:itemID="{A67C1436-A9FE-4693-92E8-9C4F0AC881D7}">
  <ds:schemaRefs>
    <ds:schemaRef ds:uri="0edc343a-53c0-4aad-ba1e-03670b7797c9"/>
    <ds:schemaRef ds:uri="http://schemas.microsoft.com/sharepoint/v3"/>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DC6EB3C-4896-491D-8FCA-BBEDA795C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Cronholm, Andrew</cp:lastModifiedBy>
  <cp:lastPrinted>2017-04-10T19:27:08Z</cp:lastPrinted>
  <dcterms:created xsi:type="dcterms:W3CDTF">2014-11-26T15:18:10Z</dcterms:created>
  <dcterms:modified xsi:type="dcterms:W3CDTF">2017-05-17T15:18:38Z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0x0101002DDE6C55BB8A4042B8AC2C83A941821E</vt:lpwstr>
  </property>
  <property fmtid="{D5CDD505-2E9C-101B-9397-08002B2CF9AE}" pid="3" name="SV_QUERY_LIST_4F35BF76-6C0D-4D9B-82B2-816C12CF3733">
    <vt:lpwstr>empty_477D106A-C0D6-4607-AEBD-E2C9D60EA279</vt:lpwstr>
  </property>
</Properties>
</file>