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5" windowWidth="11340" windowHeight="6540" activeTab="0"/>
  </bookViews>
  <sheets>
    <sheet name="HMFinPlanPresent" sheetId="1" r:id="rId1"/>
  </sheets>
  <definedNames>
    <definedName name="_xlnm.Print_Area" localSheetId="0">'HMFinPlanPresent'!$B$2:$BY$57</definedName>
    <definedName name="_xlnm.Print_Titles" localSheetId="0">'HMFinPlanPresent'!$A:$A</definedName>
  </definedNames>
  <calcPr fullCalcOnLoad="1"/>
</workbook>
</file>

<file path=xl/comments1.xml><?xml version="1.0" encoding="utf-8"?>
<comments xmlns="http://schemas.openxmlformats.org/spreadsheetml/2006/main">
  <authors>
    <author>Kitnikone</author>
    <author>kitnin</author>
  </authors>
  <commentList>
    <comment ref="Z18" authorId="0">
      <text>
        <r>
          <rPr>
            <b/>
            <sz val="8"/>
            <rFont val="Tahoma"/>
            <family val="0"/>
          </rPr>
          <t xml:space="preserve">Facility originally is 67% of Arts Portion after Endowment 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 xml:space="preserve">Program originally is 33% of Arts Portion after Endowment </t>
        </r>
        <r>
          <rPr>
            <sz val="8"/>
            <rFont val="Tahoma"/>
            <family val="0"/>
          </rPr>
          <t xml:space="preserve">
</t>
        </r>
      </text>
    </comment>
    <comment ref="BT35" authorId="1">
      <text>
        <r>
          <rPr>
            <sz val="8"/>
            <rFont val="Tahoma"/>
            <family val="0"/>
          </rPr>
          <t xml:space="preserve">including Adm, 1741 and Cult. Plan, 1743; 1804, 1801, 1805, 1807, 1808, 1809, 1810, 1750, 1771, 1774, 1775, 1776, 1777, 1770, 1781 
</t>
        </r>
      </text>
    </comment>
    <comment ref="Z20" authorId="1">
      <text>
        <r>
          <rPr>
            <sz val="8"/>
            <rFont val="Tahoma"/>
            <family val="0"/>
          </rPr>
          <t xml:space="preserve">5% of 39% will be set-aside for the AF EMG
</t>
        </r>
      </text>
    </comment>
    <comment ref="BU45" authorId="1">
      <text>
        <r>
          <rPr>
            <sz val="8"/>
            <rFont val="Tahoma"/>
            <family val="0"/>
          </rPr>
          <t xml:space="preserve">(All programs, Adm &amp; Cult. Plan) - (Cult Prog - Endowmnt + Interest on Endowmnt)
</t>
        </r>
      </text>
    </comment>
    <comment ref="BS5" authorId="1">
      <text>
        <r>
          <rPr>
            <sz val="8"/>
            <rFont val="Tahoma"/>
            <family val="0"/>
          </rPr>
          <t xml:space="preserve">Schedule is provided by Finance Dept
</t>
        </r>
      </text>
    </comment>
  </commentList>
</comments>
</file>

<file path=xl/sharedStrings.xml><?xml version="1.0" encoding="utf-8"?>
<sst xmlns="http://schemas.openxmlformats.org/spreadsheetml/2006/main" count="329" uniqueCount="197">
  <si>
    <t>REVENUE AND EXPENDITURE PROJECTIONS, ARTS &amp; HERITAGE</t>
  </si>
  <si>
    <t>CULTURAL FACILITIES PROGRAM - ARTS</t>
  </si>
  <si>
    <t>BOND WORKSHEET</t>
  </si>
  <si>
    <t>SINGLE AND MULTI-YEAR FUNDING</t>
  </si>
  <si>
    <t>Growth Rate</t>
  </si>
  <si>
    <t>H/M Debt Service</t>
  </si>
  <si>
    <t>Estimated Amount</t>
  </si>
  <si>
    <t>OPTION 1</t>
  </si>
  <si>
    <t>Facilities/Cultural</t>
  </si>
  <si>
    <t>Net</t>
  </si>
  <si>
    <t>Interest</t>
  </si>
  <si>
    <t>Historic</t>
  </si>
  <si>
    <t>HP</t>
  </si>
  <si>
    <t xml:space="preserve">HP </t>
  </si>
  <si>
    <t>Arts</t>
  </si>
  <si>
    <t xml:space="preserve">Arts </t>
  </si>
  <si>
    <t>Designated</t>
  </si>
  <si>
    <t>Payments</t>
  </si>
  <si>
    <t>Level Debt Service</t>
  </si>
  <si>
    <t>Grand Total</t>
  </si>
  <si>
    <t>to be</t>
  </si>
  <si>
    <t>Full Tax</t>
  </si>
  <si>
    <t>Less Kingdome</t>
  </si>
  <si>
    <t>Less 25%</t>
  </si>
  <si>
    <t>Cultural</t>
  </si>
  <si>
    <t>Administration</t>
  </si>
  <si>
    <t>Plan</t>
  </si>
  <si>
    <t>Fund</t>
  </si>
  <si>
    <t xml:space="preserve">Cultural </t>
  </si>
  <si>
    <t>Endowment</t>
  </si>
  <si>
    <t>On</t>
  </si>
  <si>
    <t>Preservation</t>
  </si>
  <si>
    <t>Facilities</t>
  </si>
  <si>
    <t>Programs</t>
  </si>
  <si>
    <t>Education</t>
  </si>
  <si>
    <t>Special Projects</t>
  </si>
  <si>
    <t>Vashon/New</t>
  </si>
  <si>
    <t>5% Emergency</t>
  </si>
  <si>
    <t>Debt</t>
  </si>
  <si>
    <t>Single/Multi</t>
  </si>
  <si>
    <t>Granting</t>
  </si>
  <si>
    <t>Single</t>
  </si>
  <si>
    <t>Multi</t>
  </si>
  <si>
    <t>Debt Service</t>
  </si>
  <si>
    <t>1993A Bond Issue</t>
  </si>
  <si>
    <t>Remaining</t>
  </si>
  <si>
    <t>1993B Bond Issue</t>
  </si>
  <si>
    <t>1999 Bond Issue</t>
  </si>
  <si>
    <t>Expended</t>
  </si>
  <si>
    <t>1993 Bond Issue</t>
  </si>
  <si>
    <t>Bond</t>
  </si>
  <si>
    <t>Revenue Year</t>
  </si>
  <si>
    <t>Actual/Projections</t>
  </si>
  <si>
    <t>Other Programs</t>
  </si>
  <si>
    <t>of Programs</t>
  </si>
  <si>
    <t>Updates</t>
  </si>
  <si>
    <t>Balance 10%</t>
  </si>
  <si>
    <t>City Theatre</t>
  </si>
  <si>
    <t>Set-Aside</t>
  </si>
  <si>
    <t>Service</t>
  </si>
  <si>
    <t>Year Grants</t>
  </si>
  <si>
    <t>Intervals</t>
  </si>
  <si>
    <t>Total</t>
  </si>
  <si>
    <t>Control</t>
  </si>
  <si>
    <t>Revenue Stream</t>
  </si>
  <si>
    <t>Revenue</t>
  </si>
  <si>
    <t>All Programs</t>
  </si>
  <si>
    <t>for $1 million</t>
  </si>
  <si>
    <t>Issue</t>
  </si>
  <si>
    <t>1992-ACTUAL</t>
  </si>
  <si>
    <t>1993-ACTUAL</t>
  </si>
  <si>
    <t>1994-ACTUAL</t>
  </si>
  <si>
    <t>1995-ACTUAL</t>
  </si>
  <si>
    <t>1996-ACTUAL</t>
  </si>
  <si>
    <t>1997-ACTUAL</t>
  </si>
  <si>
    <t>1998-ACTUAL</t>
  </si>
  <si>
    <t>1999-ACTUAL</t>
  </si>
  <si>
    <t>Total 1992-2000</t>
  </si>
  <si>
    <t>Target</t>
  </si>
  <si>
    <t xml:space="preserve">HP Portion </t>
  </si>
  <si>
    <t>HP All Uses</t>
  </si>
  <si>
    <t>Arts Portion</t>
  </si>
  <si>
    <t>Full</t>
  </si>
  <si>
    <t>Less 30%</t>
  </si>
  <si>
    <t>12% of Total</t>
  </si>
  <si>
    <t xml:space="preserve"> </t>
  </si>
  <si>
    <t>Year</t>
  </si>
  <si>
    <t>Tax Projections</t>
  </si>
  <si>
    <t>of Total</t>
  </si>
  <si>
    <t>Total 2001-2012</t>
  </si>
  <si>
    <t>Total 1992-2012</t>
  </si>
  <si>
    <t>NOTES:</t>
  </si>
  <si>
    <t xml:space="preserve">Remaining Revenue </t>
  </si>
  <si>
    <t xml:space="preserve"> *    To remove the 10% Target Fund Reserve per 1999 Proviso</t>
  </si>
  <si>
    <t xml:space="preserve">1.  Debt Service projections for 1993 Bond Issue based on actual debt service for most recent </t>
  </si>
  <si>
    <t>Hotel/Motel proportion of current debt service</t>
  </si>
  <si>
    <t xml:space="preserve"> 1.   Full Tax Projections begin with 1992 actual revenue</t>
  </si>
  <si>
    <t>2.  Columns 53 and 54 are added to reflect the debt service payment for supporting Bellevue Art Museum $1.5 Million</t>
  </si>
  <si>
    <t>Balance</t>
  </si>
  <si>
    <t>3.  Debt service payment decreases from 1999 to 2012 due to refunding of bonds in 1999 (1993A Series)</t>
  </si>
  <si>
    <t xml:space="preserve"> 3.   Target Fund Balance for 1992 and 1993 reflect the difference between the actual or projected revenue and approved appropriation</t>
  </si>
  <si>
    <t>Heritage</t>
  </si>
  <si>
    <t xml:space="preserve"> 4.   Administration projected to increase by 5% per year over the 1993 approved budget; 1997 Administration assumes 8% of the Cultural Programs</t>
  </si>
  <si>
    <t xml:space="preserve"> 5.   Administration from 1998 to 1999 assumes 9.6% of the Cultural Programs and reflects the 1998 proviso </t>
  </si>
  <si>
    <t xml:space="preserve"> 6.   Interest on the endowment in years 2001 through 2012 is split 80% arts and 20% heritage; interest is split equally between arts facilities and programs </t>
  </si>
  <si>
    <t xml:space="preserve"> 7.   Target Fund balance expended in subsequent year until 1999</t>
  </si>
  <si>
    <t xml:space="preserve"> 8.   Assumes interest of 7% annually on endowment </t>
  </si>
  <si>
    <t xml:space="preserve"> 9.  Numbers in italics represent actual revenues and adopted appropriations</t>
  </si>
  <si>
    <t>Policies Adopted</t>
  </si>
  <si>
    <t xml:space="preserve">Historic </t>
  </si>
  <si>
    <t xml:space="preserve">Interest </t>
  </si>
  <si>
    <t>Arts Interest</t>
  </si>
  <si>
    <t>on Endowment</t>
  </si>
  <si>
    <t>Split</t>
  </si>
  <si>
    <r>
      <t>*</t>
    </r>
    <r>
      <rPr>
        <sz val="10"/>
        <rFont val="Helv"/>
        <family val="0"/>
      </rPr>
      <t>Target</t>
    </r>
  </si>
  <si>
    <r>
      <t xml:space="preserve">$3.5 Million </t>
    </r>
    <r>
      <rPr>
        <b/>
        <vertAlign val="superscript"/>
        <sz val="8"/>
        <rFont val="Geneva"/>
        <family val="0"/>
      </rPr>
      <t>a</t>
    </r>
  </si>
  <si>
    <r>
      <t>$1 Million</t>
    </r>
    <r>
      <rPr>
        <sz val="7"/>
        <rFont val="Helv"/>
        <family val="0"/>
      </rPr>
      <t xml:space="preserve"> </t>
    </r>
    <r>
      <rPr>
        <b/>
        <vertAlign val="superscript"/>
        <sz val="7"/>
        <rFont val="Helv"/>
        <family val="0"/>
      </rPr>
      <t>b</t>
    </r>
  </si>
  <si>
    <r>
      <t xml:space="preserve">$1.5 Million </t>
    </r>
    <r>
      <rPr>
        <b/>
        <vertAlign val="superscript"/>
        <sz val="7"/>
        <color indexed="12"/>
        <rFont val="Helv"/>
        <family val="0"/>
      </rPr>
      <t>c</t>
    </r>
  </si>
  <si>
    <r>
      <t xml:space="preserve">a. </t>
    </r>
    <r>
      <rPr>
        <sz val="10"/>
        <rFont val="Helv"/>
        <family val="0"/>
      </rPr>
      <t xml:space="preserve"> Bond Funded Projects - Pacific Northwest Ballet $1.5 Million; Seattle Children Theatre $2.0 Million</t>
    </r>
  </si>
  <si>
    <r>
      <t>b.</t>
    </r>
    <r>
      <rPr>
        <sz val="10"/>
        <rFont val="Helv"/>
        <family val="0"/>
      </rPr>
      <t xml:space="preserve">  Bond Funded Project - Village Theatre $1.0 Million </t>
    </r>
  </si>
  <si>
    <r>
      <t>c.</t>
    </r>
    <r>
      <rPr>
        <sz val="10"/>
        <rFont val="Helv"/>
        <family val="0"/>
      </rPr>
      <t xml:space="preserve">  Bond Funded Project - Bellevue Art Museum $1.5 Million</t>
    </r>
  </si>
  <si>
    <t>11A</t>
  </si>
  <si>
    <t>HP GAP</t>
  </si>
  <si>
    <t>Resvd/Add</t>
  </si>
  <si>
    <t>14A</t>
  </si>
  <si>
    <t>Arts GAP</t>
  </si>
  <si>
    <t xml:space="preserve"> 2.   Assumes 5% per year increase from 1996 TO 1999 (OFM 8/24/95)</t>
  </si>
  <si>
    <t>Interest (7%)</t>
  </si>
  <si>
    <t xml:space="preserve">after End. </t>
  </si>
  <si>
    <t xml:space="preserve">       5.1% for year 1996 (OFM 5/95).</t>
  </si>
  <si>
    <t>1. Per 9/7/99 Motion #10753 to reserve funds for leveraging the annual funding programs</t>
  </si>
  <si>
    <t>due to 40% of the revenue of the Cult Dev Fund being placed in a separate Cult Endowmt</t>
  </si>
  <si>
    <t>Fund beginning with 2001 revenue.  Use accu. 2000 total to leverage 02&amp;03 fdg, 60/40</t>
  </si>
  <si>
    <t>*.6 Yr 01;.4 Yr 02</t>
  </si>
  <si>
    <t>470,257; 122,239</t>
  </si>
  <si>
    <t>313,505;    81,492</t>
  </si>
  <si>
    <t>9A</t>
  </si>
  <si>
    <t>Net Cultural</t>
  </si>
  <si>
    <t>after Endow.</t>
  </si>
  <si>
    <t>2001*</t>
  </si>
  <si>
    <t>Acc. Total</t>
  </si>
  <si>
    <t>Debt Svc</t>
  </si>
  <si>
    <t>13A</t>
  </si>
  <si>
    <t>13B</t>
  </si>
  <si>
    <t>Programs after</t>
  </si>
  <si>
    <t>$1 Million</t>
  </si>
  <si>
    <t>54A</t>
  </si>
  <si>
    <t>54B</t>
  </si>
  <si>
    <r>
      <t xml:space="preserve">$1.5 Million </t>
    </r>
    <r>
      <rPr>
        <vertAlign val="superscript"/>
        <sz val="7"/>
        <color indexed="12"/>
        <rFont val="Helv"/>
        <family val="0"/>
      </rPr>
      <t>d</t>
    </r>
  </si>
  <si>
    <t>$7.5 Million</t>
  </si>
  <si>
    <r>
      <t xml:space="preserve">$1 Million </t>
    </r>
    <r>
      <rPr>
        <vertAlign val="superscript"/>
        <sz val="7"/>
        <rFont val="Helv"/>
        <family val="0"/>
      </rPr>
      <t>e</t>
    </r>
  </si>
  <si>
    <t>2000-ACTUAL</t>
  </si>
  <si>
    <t>Facilities after</t>
  </si>
  <si>
    <t xml:space="preserve">Facilities </t>
  </si>
  <si>
    <t xml:space="preserve">Debt Svc </t>
  </si>
  <si>
    <t>13C</t>
  </si>
  <si>
    <t>13F</t>
  </si>
  <si>
    <t>Support</t>
  </si>
  <si>
    <t>Special</t>
  </si>
  <si>
    <t>Facilities &amp;</t>
  </si>
  <si>
    <t>Fixed Assets</t>
  </si>
  <si>
    <t>Operating Support</t>
  </si>
  <si>
    <t xml:space="preserve">Special </t>
  </si>
  <si>
    <t>13G</t>
  </si>
  <si>
    <t>13D</t>
  </si>
  <si>
    <t>13E</t>
  </si>
  <si>
    <t>Projects</t>
  </si>
  <si>
    <t>Landmark</t>
  </si>
  <si>
    <t>16A</t>
  </si>
  <si>
    <t>16B</t>
  </si>
  <si>
    <t>Infrastructure</t>
  </si>
  <si>
    <t>Arts Operating</t>
  </si>
  <si>
    <t>2001 Bond Issue</t>
  </si>
  <si>
    <t>16C</t>
  </si>
  <si>
    <t>Innovation</t>
  </si>
  <si>
    <t>Individual Artists</t>
  </si>
  <si>
    <t xml:space="preserve">        to accommodate the increased cost of .5 FTE.</t>
  </si>
  <si>
    <t xml:space="preserve">      to outer years  to accommodate the increased cost of 1.5 FTEs.</t>
  </si>
  <si>
    <t xml:space="preserve">        operating support and landmark restoration in 2002.</t>
  </si>
  <si>
    <t>10.  Debt Service set aside in 1997 to 2012 is based on actual debt payment.</t>
  </si>
  <si>
    <t>11.  Assumes 12.9% increase for 1999 per State's estimate 8/31/99</t>
  </si>
  <si>
    <t>12.  Assumes 3% per year increase from 2000 to 2012 per BO 8/31/99</t>
  </si>
  <si>
    <t>13.  Administration from 2000 to 2012 assumes 10.1% of the Cultural Programs</t>
  </si>
  <si>
    <t>14.  Initial growth rate starts at 2.1%; 4% for 1994 &amp; 1995 (OFM 11/94, 2/95);</t>
  </si>
  <si>
    <t>15.  Increase administration to 13.5% of the Cultural Programs from 2002</t>
  </si>
  <si>
    <t>3.  Arts Program (Columns 14+14A) = (columns 15+16+16A+16B+16C+20)</t>
  </si>
  <si>
    <t>1.  HP Programs (Columns 11+11A) = (Columns 13A+13B+13C+13E+13F+13G)</t>
  </si>
  <si>
    <t>1.  Eliminate Single/Multi Year Grants from 1997 to 2012.</t>
  </si>
  <si>
    <t xml:space="preserve">16.  KCAC and KCLHC's proposal to restruct their programs to include the </t>
  </si>
  <si>
    <t xml:space="preserve">2.  Arts Facilities &amp; Infrastrature $s in column 17 for 1997 to 2012 are for illustration </t>
  </si>
  <si>
    <t xml:space="preserve">     purpose only including the 5% Emergency Set-Aside $s.</t>
  </si>
  <si>
    <t>2001-ACTUAL</t>
  </si>
  <si>
    <t>Total 2001-2021</t>
  </si>
  <si>
    <t>Total 1992-2021</t>
  </si>
  <si>
    <r>
      <t>d.</t>
    </r>
    <r>
      <rPr>
        <sz val="10"/>
        <rFont val="Helv"/>
        <family val="0"/>
      </rPr>
      <t xml:space="preserve">  Bond Funded Project -  $1.5 Million; Seattle Center Foundation $1.25 Million; Bellevue Art Museum $250K</t>
    </r>
  </si>
  <si>
    <r>
      <t>e.</t>
    </r>
    <r>
      <rPr>
        <sz val="10"/>
        <rFont val="Helv"/>
        <family val="0"/>
      </rPr>
      <t xml:space="preserve">  Bond Funded Project -  $1 Million; MOHAI $800K; Museum of Flight $200K</t>
    </r>
  </si>
  <si>
    <t>Rehabilitation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</si>
</sst>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000"/>
    <numFmt numFmtId="165" formatCode="0.0%"/>
    <numFmt numFmtId="166" formatCode="#,##0.0"/>
    <numFmt numFmtId="167" formatCode="#,##0.0_);[Red]\(#,##0.0\)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2"/>
      <name val="Geneva"/>
      <family val="0"/>
    </font>
    <font>
      <sz val="10"/>
      <color indexed="12"/>
      <name val="Helv"/>
      <family val="0"/>
    </font>
    <font>
      <b/>
      <sz val="10"/>
      <color indexed="12"/>
      <name val="Helv"/>
      <family val="0"/>
    </font>
    <font>
      <b/>
      <vertAlign val="superscript"/>
      <sz val="8"/>
      <name val="Geneva"/>
      <family val="0"/>
    </font>
    <font>
      <sz val="7"/>
      <name val="Helv"/>
      <family val="0"/>
    </font>
    <font>
      <b/>
      <vertAlign val="superscript"/>
      <sz val="7"/>
      <name val="Helv"/>
      <family val="0"/>
    </font>
    <font>
      <b/>
      <vertAlign val="superscript"/>
      <sz val="7"/>
      <color indexed="12"/>
      <name val="Helv"/>
      <family val="0"/>
    </font>
    <font>
      <i/>
      <sz val="10"/>
      <name val="Helv"/>
      <family val="0"/>
    </font>
    <font>
      <b/>
      <vertAlign val="superscript"/>
      <sz val="8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Helv"/>
      <family val="0"/>
    </font>
    <font>
      <sz val="10"/>
      <color indexed="10"/>
      <name val="Geneva"/>
      <family val="0"/>
    </font>
    <font>
      <vertAlign val="superscript"/>
      <sz val="7"/>
      <color indexed="12"/>
      <name val="Helv"/>
      <family val="0"/>
    </font>
    <font>
      <vertAlign val="superscript"/>
      <sz val="7"/>
      <name val="Helv"/>
      <family val="0"/>
    </font>
    <font>
      <b/>
      <sz val="10"/>
      <color indexed="10"/>
      <name val="Helv"/>
      <family val="0"/>
    </font>
    <font>
      <b/>
      <sz val="10"/>
      <color indexed="61"/>
      <name val="Helv"/>
      <family val="0"/>
    </font>
    <font>
      <b/>
      <sz val="10"/>
      <color indexed="10"/>
      <name val="Geneva"/>
      <family val="0"/>
    </font>
    <font>
      <b/>
      <sz val="10"/>
      <color indexed="20"/>
      <name val="Geneva"/>
      <family val="0"/>
    </font>
    <font>
      <sz val="10"/>
      <color indexed="14"/>
      <name val="Helv"/>
      <family val="0"/>
    </font>
    <font>
      <b/>
      <sz val="10"/>
      <color indexed="14"/>
      <name val="Helv"/>
      <family val="0"/>
    </font>
    <font>
      <b/>
      <sz val="10"/>
      <color indexed="61"/>
      <name val="Geneva"/>
      <family val="0"/>
    </font>
    <font>
      <sz val="10"/>
      <color indexed="14"/>
      <name val="Geneva"/>
      <family val="0"/>
    </font>
    <font>
      <sz val="10"/>
      <color indexed="20"/>
      <name val="Helv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9" fontId="0" fillId="0" borderId="0" xfId="0" applyNumberFormat="1" applyAlignment="1">
      <alignment horizontal="center"/>
    </xf>
    <xf numFmtId="0" fontId="4" fillId="2" borderId="0" xfId="0" applyFont="1" applyFill="1" applyAlignment="1">
      <alignment horizontal="left"/>
    </xf>
    <xf numFmtId="3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15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9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5" fillId="1" borderId="0" xfId="0" applyNumberFormat="1" applyFont="1" applyFill="1" applyAlignment="1">
      <alignment horizontal="center"/>
    </xf>
    <xf numFmtId="3" fontId="5" fillId="1" borderId="0" xfId="0" applyNumberFormat="1" applyFont="1" applyFill="1" applyAlignment="1">
      <alignment/>
    </xf>
    <xf numFmtId="3" fontId="5" fillId="1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3" fontId="5" fillId="0" borderId="0" xfId="19" applyNumberFormat="1" applyFont="1">
      <alignment/>
      <protection/>
    </xf>
    <xf numFmtId="4" fontId="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9" fontId="23" fillId="0" borderId="0" xfId="0" applyNumberFormat="1" applyFont="1" applyAlignment="1">
      <alignment horizontal="center"/>
    </xf>
    <xf numFmtId="12" fontId="24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9" fontId="27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/>
    </xf>
    <xf numFmtId="3" fontId="5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3" fontId="29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MFP99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8"/>
  <sheetViews>
    <sheetView tabSelected="1" zoomScale="75" zoomScaleNormal="75" workbookViewId="0" topLeftCell="A1">
      <pane xSplit="1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3" sqref="O3"/>
    </sheetView>
  </sheetViews>
  <sheetFormatPr defaultColWidth="9.00390625" defaultRowHeight="13.5" customHeight="1"/>
  <cols>
    <col min="1" max="1" width="14.375" style="20" customWidth="1"/>
    <col min="2" max="2" width="17.75390625" style="20" customWidth="1"/>
    <col min="3" max="3" width="15.00390625" style="20" customWidth="1"/>
    <col min="4" max="4" width="14.375" style="20" customWidth="1"/>
    <col min="5" max="5" width="13.125" style="20" customWidth="1"/>
    <col min="6" max="6" width="13.00390625" style="20" customWidth="1"/>
    <col min="7" max="7" width="14.875" style="20" customWidth="1"/>
    <col min="8" max="8" width="13.75390625" style="20" customWidth="1"/>
    <col min="9" max="9" width="12.875" style="20" customWidth="1"/>
    <col min="10" max="10" width="13.25390625" style="20" customWidth="1"/>
    <col min="11" max="11" width="11.00390625" style="20" customWidth="1"/>
    <col min="12" max="12" width="10.75390625" style="20" customWidth="1"/>
    <col min="13" max="14" width="11.25390625" style="20" customWidth="1"/>
    <col min="15" max="15" width="12.875" style="20" customWidth="1"/>
    <col min="16" max="16" width="15.00390625" style="20" customWidth="1"/>
    <col min="17" max="17" width="16.75390625" style="20" customWidth="1"/>
    <col min="18" max="18" width="13.125" style="20" customWidth="1"/>
    <col min="19" max="19" width="16.625" style="20" customWidth="1"/>
    <col min="20" max="20" width="10.75390625" style="20" customWidth="1"/>
    <col min="21" max="23" width="15.00390625" style="20" customWidth="1"/>
    <col min="24" max="25" width="12.125" style="20" customWidth="1"/>
    <col min="26" max="26" width="12.375" style="20" customWidth="1"/>
    <col min="27" max="27" width="13.00390625" style="20" customWidth="1"/>
    <col min="28" max="28" width="11.00390625" style="20" customWidth="1"/>
    <col min="29" max="29" width="15.00390625" style="20" customWidth="1"/>
    <col min="30" max="30" width="16.75390625" style="20" customWidth="1"/>
    <col min="31" max="31" width="12.875" style="20" customWidth="1"/>
    <col min="32" max="32" width="12.00390625" style="20" customWidth="1"/>
    <col min="33" max="33" width="14.00390625" style="3" customWidth="1"/>
    <col min="34" max="34" width="13.75390625" style="3" customWidth="1"/>
    <col min="35" max="35" width="10.875" style="3" hidden="1" customWidth="1"/>
    <col min="36" max="36" width="10.625" style="3" hidden="1" customWidth="1"/>
    <col min="37" max="37" width="13.75390625" style="20" hidden="1" customWidth="1"/>
    <col min="38" max="42" width="11.125" style="20" hidden="1" customWidth="1"/>
    <col min="43" max="44" width="10.75390625" style="20" hidden="1" customWidth="1"/>
    <col min="45" max="45" width="11.125" style="20" hidden="1" customWidth="1"/>
    <col min="46" max="47" width="11.375" style="0" hidden="1" customWidth="1"/>
    <col min="48" max="57" width="10.75390625" style="20" hidden="1" customWidth="1"/>
    <col min="58" max="59" width="11.125" style="20" hidden="1" customWidth="1"/>
    <col min="60" max="61" width="10.75390625" style="20" hidden="1" customWidth="1"/>
    <col min="62" max="62" width="16.25390625" style="3" customWidth="1"/>
    <col min="63" max="63" width="16.125" style="20" customWidth="1"/>
    <col min="64" max="64" width="10.75390625" style="20" customWidth="1"/>
    <col min="65" max="65" width="19.125" style="20" customWidth="1"/>
    <col min="66" max="66" width="12.875" style="35" customWidth="1"/>
    <col min="67" max="67" width="18.00390625" style="35" customWidth="1"/>
    <col min="68" max="68" width="12.875" style="35" customWidth="1"/>
    <col min="69" max="69" width="17.125" style="35" customWidth="1"/>
    <col min="70" max="70" width="13.25390625" style="35" customWidth="1"/>
    <col min="71" max="71" width="14.75390625" style="17" customWidth="1"/>
    <col min="72" max="72" width="18.75390625" style="3" customWidth="1"/>
    <col min="73" max="73" width="18.375" style="3" hidden="1" customWidth="1"/>
    <col min="74" max="74" width="17.75390625" style="3" hidden="1" customWidth="1"/>
    <col min="75" max="75" width="14.25390625" style="20" hidden="1" customWidth="1"/>
    <col min="76" max="77" width="10.75390625" style="20" hidden="1" customWidth="1"/>
    <col min="78" max="16384" width="10.75390625" style="20" customWidth="1"/>
  </cols>
  <sheetData>
    <row r="1" spans="2:74" ht="13.5" customHeight="1">
      <c r="B1" s="1" t="s">
        <v>0</v>
      </c>
      <c r="D1" s="2"/>
      <c r="E1" s="3"/>
      <c r="F1" s="4"/>
      <c r="AE1" s="1" t="s">
        <v>1</v>
      </c>
      <c r="AK1" s="1" t="s">
        <v>1</v>
      </c>
      <c r="BJ1" s="1" t="s">
        <v>2</v>
      </c>
      <c r="BM1" s="5"/>
      <c r="BN1" s="6"/>
      <c r="BO1" s="6"/>
      <c r="BP1" s="6"/>
      <c r="BQ1" s="6"/>
      <c r="BR1" s="6"/>
      <c r="BS1" s="7"/>
      <c r="BU1" s="8"/>
      <c r="BV1" s="8"/>
    </row>
    <row r="2" spans="2:74" ht="13.5" customHeight="1"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68" t="s">
        <v>136</v>
      </c>
      <c r="L2" s="9">
        <v>10</v>
      </c>
      <c r="M2" s="9">
        <v>11</v>
      </c>
      <c r="N2" s="68" t="s">
        <v>121</v>
      </c>
      <c r="O2" s="9">
        <v>12</v>
      </c>
      <c r="P2" s="9">
        <v>13</v>
      </c>
      <c r="Q2" s="68" t="s">
        <v>142</v>
      </c>
      <c r="R2" s="68" t="s">
        <v>143</v>
      </c>
      <c r="S2" s="68" t="s">
        <v>155</v>
      </c>
      <c r="T2" s="68" t="s">
        <v>164</v>
      </c>
      <c r="U2" s="68" t="s">
        <v>165</v>
      </c>
      <c r="V2" s="68" t="s">
        <v>156</v>
      </c>
      <c r="W2" s="68" t="s">
        <v>163</v>
      </c>
      <c r="X2" s="9">
        <v>14</v>
      </c>
      <c r="Y2" s="68" t="s">
        <v>124</v>
      </c>
      <c r="Z2" s="9">
        <v>15</v>
      </c>
      <c r="AA2" s="9">
        <v>16</v>
      </c>
      <c r="AB2" s="68" t="s">
        <v>168</v>
      </c>
      <c r="AC2" s="68" t="s">
        <v>169</v>
      </c>
      <c r="AD2" s="68" t="s">
        <v>173</v>
      </c>
      <c r="AE2" s="9">
        <v>17</v>
      </c>
      <c r="AF2" s="9">
        <v>18</v>
      </c>
      <c r="AG2" s="9">
        <v>19</v>
      </c>
      <c r="AH2" s="9">
        <v>20</v>
      </c>
      <c r="AI2" s="9">
        <v>21</v>
      </c>
      <c r="AJ2" s="9">
        <v>22</v>
      </c>
      <c r="AK2" s="1" t="s">
        <v>3</v>
      </c>
      <c r="BJ2" s="10">
        <v>48</v>
      </c>
      <c r="BK2" s="10">
        <v>49</v>
      </c>
      <c r="BL2" s="10">
        <v>50</v>
      </c>
      <c r="BM2" s="10">
        <v>51</v>
      </c>
      <c r="BN2" s="10">
        <v>52</v>
      </c>
      <c r="BO2" s="11">
        <v>53</v>
      </c>
      <c r="BP2" s="11">
        <v>54</v>
      </c>
      <c r="BQ2" s="66" t="s">
        <v>146</v>
      </c>
      <c r="BR2" s="66" t="s">
        <v>147</v>
      </c>
      <c r="BS2" s="7"/>
      <c r="BU2" s="8"/>
      <c r="BV2" s="8"/>
    </row>
    <row r="3" spans="1:75" ht="13.5" customHeight="1">
      <c r="A3" t="s">
        <v>4</v>
      </c>
      <c r="B3" s="12">
        <v>1</v>
      </c>
      <c r="D3" s="2"/>
      <c r="E3" s="3"/>
      <c r="F3" s="12">
        <v>0.135</v>
      </c>
      <c r="N3" s="62"/>
      <c r="Q3" s="20"/>
      <c r="AK3" s="14">
        <v>23</v>
      </c>
      <c r="AL3" s="14">
        <v>24</v>
      </c>
      <c r="AM3" s="14">
        <v>25</v>
      </c>
      <c r="AN3" s="14">
        <v>26</v>
      </c>
      <c r="AO3" s="14">
        <v>27</v>
      </c>
      <c r="AP3" s="14">
        <v>28</v>
      </c>
      <c r="AQ3" s="14">
        <v>29</v>
      </c>
      <c r="AR3" s="14">
        <v>30</v>
      </c>
      <c r="AS3" s="14">
        <v>31</v>
      </c>
      <c r="AT3" s="14">
        <v>32</v>
      </c>
      <c r="AU3" s="14">
        <v>33</v>
      </c>
      <c r="AV3" s="14">
        <v>34</v>
      </c>
      <c r="AW3" s="14">
        <v>35</v>
      </c>
      <c r="AX3" s="14">
        <v>36</v>
      </c>
      <c r="AY3" s="14">
        <v>37</v>
      </c>
      <c r="AZ3" s="14">
        <v>38</v>
      </c>
      <c r="BA3" s="14">
        <v>39</v>
      </c>
      <c r="BB3" s="14">
        <v>40</v>
      </c>
      <c r="BC3" s="14">
        <v>41</v>
      </c>
      <c r="BD3" s="14">
        <v>42</v>
      </c>
      <c r="BE3" s="14">
        <v>43</v>
      </c>
      <c r="BF3" s="14">
        <v>44</v>
      </c>
      <c r="BG3" s="14">
        <v>45</v>
      </c>
      <c r="BH3" s="14">
        <v>46</v>
      </c>
      <c r="BI3" s="14">
        <v>47</v>
      </c>
      <c r="BJ3" s="1"/>
      <c r="BK3" s="15" t="s">
        <v>5</v>
      </c>
      <c r="BM3" s="5"/>
      <c r="BN3" s="8"/>
      <c r="BO3" s="16"/>
      <c r="BP3" s="16"/>
      <c r="BQ3" s="16"/>
      <c r="BR3" s="16"/>
      <c r="BT3" s="18" t="s">
        <v>6</v>
      </c>
      <c r="BV3" s="5" t="s">
        <v>7</v>
      </c>
      <c r="BW3" s="19"/>
    </row>
    <row r="4" spans="1:76" s="27" customFormat="1" ht="12.75">
      <c r="A4"/>
      <c r="B4" s="2"/>
      <c r="C4"/>
      <c r="D4" s="2"/>
      <c r="E4" s="2"/>
      <c r="F4" s="20"/>
      <c r="G4" s="4" t="s">
        <v>8</v>
      </c>
      <c r="H4" s="21" t="s">
        <v>114</v>
      </c>
      <c r="I4" s="9" t="s">
        <v>9</v>
      </c>
      <c r="J4" s="9"/>
      <c r="K4" s="9"/>
      <c r="L4" s="9" t="s">
        <v>10</v>
      </c>
      <c r="M4" s="9" t="s">
        <v>11</v>
      </c>
      <c r="N4" s="29" t="s">
        <v>122</v>
      </c>
      <c r="O4" s="9" t="s">
        <v>12</v>
      </c>
      <c r="P4" s="9" t="s">
        <v>12</v>
      </c>
      <c r="Q4" s="9" t="s">
        <v>12</v>
      </c>
      <c r="R4" s="9" t="s">
        <v>12</v>
      </c>
      <c r="S4" s="9"/>
      <c r="T4" s="9" t="s">
        <v>12</v>
      </c>
      <c r="U4" s="9" t="s">
        <v>13</v>
      </c>
      <c r="V4" s="9"/>
      <c r="W4" s="9"/>
      <c r="X4" s="9"/>
      <c r="Y4" s="29" t="s">
        <v>125</v>
      </c>
      <c r="Z4" s="9" t="s">
        <v>14</v>
      </c>
      <c r="AA4" s="9" t="s">
        <v>15</v>
      </c>
      <c r="AB4" s="9" t="s">
        <v>14</v>
      </c>
      <c r="AC4" s="9" t="s">
        <v>14</v>
      </c>
      <c r="AD4" s="9"/>
      <c r="AE4" s="2"/>
      <c r="AF4" s="2"/>
      <c r="AG4" s="2"/>
      <c r="AH4" s="2"/>
      <c r="AI4" s="2"/>
      <c r="AJ4" s="2"/>
      <c r="AK4" s="22"/>
      <c r="AL4" s="2"/>
      <c r="AM4" s="22">
        <v>1992</v>
      </c>
      <c r="AN4" s="22">
        <v>1993</v>
      </c>
      <c r="AO4" s="22">
        <v>1994</v>
      </c>
      <c r="AP4" s="22">
        <v>1995</v>
      </c>
      <c r="AQ4" s="22">
        <v>1996</v>
      </c>
      <c r="AR4" s="22">
        <v>1997</v>
      </c>
      <c r="AS4" s="22">
        <v>1998</v>
      </c>
      <c r="AT4" s="22">
        <v>1999</v>
      </c>
      <c r="AU4" s="22">
        <v>2000</v>
      </c>
      <c r="AV4" s="22">
        <v>2001</v>
      </c>
      <c r="AW4" s="22">
        <v>2002</v>
      </c>
      <c r="AX4" s="22">
        <v>2003</v>
      </c>
      <c r="AY4" s="22">
        <v>2004</v>
      </c>
      <c r="AZ4" s="22">
        <v>2005</v>
      </c>
      <c r="BA4" s="22">
        <v>2006</v>
      </c>
      <c r="BB4" s="22">
        <v>2007</v>
      </c>
      <c r="BC4" s="22">
        <v>2008</v>
      </c>
      <c r="BD4" s="22">
        <v>2009</v>
      </c>
      <c r="BE4" s="22">
        <v>2010</v>
      </c>
      <c r="BF4" s="22">
        <v>2011</v>
      </c>
      <c r="BG4" s="22">
        <v>2012</v>
      </c>
      <c r="BH4" s="2"/>
      <c r="BI4" s="2"/>
      <c r="BJ4" s="9" t="s">
        <v>16</v>
      </c>
      <c r="BK4" s="9" t="s">
        <v>17</v>
      </c>
      <c r="BL4" s="15"/>
      <c r="BM4" s="18" t="s">
        <v>18</v>
      </c>
      <c r="BN4" s="2"/>
      <c r="BO4" s="23" t="s">
        <v>18</v>
      </c>
      <c r="BP4" s="24"/>
      <c r="BQ4" s="23" t="s">
        <v>18</v>
      </c>
      <c r="BR4" s="24"/>
      <c r="BS4" s="25" t="s">
        <v>19</v>
      </c>
      <c r="BT4" s="18" t="s">
        <v>20</v>
      </c>
      <c r="BU4" s="14"/>
      <c r="BV4" s="18" t="s">
        <v>18</v>
      </c>
      <c r="BW4" s="26"/>
      <c r="BX4" s="15">
        <v>1992</v>
      </c>
    </row>
    <row r="5" spans="1:76" ht="12.75">
      <c r="A5" s="28"/>
      <c r="B5" s="13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/>
      <c r="L5" s="9" t="s">
        <v>30</v>
      </c>
      <c r="M5" s="9" t="s">
        <v>31</v>
      </c>
      <c r="N5" s="29" t="s">
        <v>123</v>
      </c>
      <c r="O5" s="9" t="s">
        <v>32</v>
      </c>
      <c r="P5" s="9" t="s">
        <v>33</v>
      </c>
      <c r="Q5" s="18" t="s">
        <v>172</v>
      </c>
      <c r="R5" s="9" t="s">
        <v>144</v>
      </c>
      <c r="S5" s="9"/>
      <c r="T5" s="9" t="s">
        <v>34</v>
      </c>
      <c r="U5" s="9" t="s">
        <v>35</v>
      </c>
      <c r="V5" s="9"/>
      <c r="W5" s="9"/>
      <c r="X5" s="9" t="s">
        <v>14</v>
      </c>
      <c r="Y5" s="29" t="s">
        <v>123</v>
      </c>
      <c r="Z5" s="9" t="s">
        <v>32</v>
      </c>
      <c r="AA5" s="9" t="s">
        <v>33</v>
      </c>
      <c r="AB5" s="9" t="s">
        <v>34</v>
      </c>
      <c r="AC5" s="9" t="s">
        <v>35</v>
      </c>
      <c r="AD5" s="9"/>
      <c r="AE5" s="9" t="s">
        <v>14</v>
      </c>
      <c r="AF5" s="9" t="s">
        <v>36</v>
      </c>
      <c r="AG5" s="9" t="s">
        <v>37</v>
      </c>
      <c r="AH5" s="9" t="s">
        <v>38</v>
      </c>
      <c r="AI5" s="9" t="s">
        <v>39</v>
      </c>
      <c r="AJ5" s="9" t="s">
        <v>40</v>
      </c>
      <c r="AK5" s="9" t="s">
        <v>39</v>
      </c>
      <c r="AL5" s="9" t="s">
        <v>41</v>
      </c>
      <c r="AM5" s="9" t="s">
        <v>42</v>
      </c>
      <c r="AN5" s="9" t="s">
        <v>42</v>
      </c>
      <c r="AO5" s="9" t="s">
        <v>42</v>
      </c>
      <c r="AP5" s="9" t="s">
        <v>42</v>
      </c>
      <c r="AQ5" s="9" t="s">
        <v>42</v>
      </c>
      <c r="AR5" s="9" t="s">
        <v>42</v>
      </c>
      <c r="AS5" s="9" t="s">
        <v>42</v>
      </c>
      <c r="AT5" s="9" t="s">
        <v>42</v>
      </c>
      <c r="AU5" s="9" t="s">
        <v>42</v>
      </c>
      <c r="AV5" s="9" t="s">
        <v>42</v>
      </c>
      <c r="AW5" s="9" t="s">
        <v>42</v>
      </c>
      <c r="AX5" s="9" t="s">
        <v>42</v>
      </c>
      <c r="AY5" s="9" t="s">
        <v>42</v>
      </c>
      <c r="AZ5" s="9" t="s">
        <v>42</v>
      </c>
      <c r="BA5" s="9" t="s">
        <v>42</v>
      </c>
      <c r="BB5" s="9" t="s">
        <v>42</v>
      </c>
      <c r="BC5" s="9" t="s">
        <v>42</v>
      </c>
      <c r="BD5" s="9" t="s">
        <v>42</v>
      </c>
      <c r="BE5" s="9" t="s">
        <v>42</v>
      </c>
      <c r="BF5" s="9" t="s">
        <v>42</v>
      </c>
      <c r="BG5" s="9" t="s">
        <v>42</v>
      </c>
      <c r="BH5" s="3"/>
      <c r="BI5" s="3"/>
      <c r="BJ5" s="4" t="s">
        <v>43</v>
      </c>
      <c r="BK5" s="9" t="s">
        <v>44</v>
      </c>
      <c r="BL5" s="9" t="s">
        <v>45</v>
      </c>
      <c r="BM5" s="18" t="s">
        <v>46</v>
      </c>
      <c r="BN5" s="9" t="s">
        <v>45</v>
      </c>
      <c r="BO5" s="29" t="s">
        <v>47</v>
      </c>
      <c r="BP5" s="29" t="s">
        <v>45</v>
      </c>
      <c r="BQ5" s="29" t="s">
        <v>172</v>
      </c>
      <c r="BR5" s="29" t="s">
        <v>45</v>
      </c>
      <c r="BS5" s="25" t="s">
        <v>43</v>
      </c>
      <c r="BT5" s="18" t="s">
        <v>48</v>
      </c>
      <c r="BU5" s="14"/>
      <c r="BV5" s="18" t="s">
        <v>49</v>
      </c>
      <c r="BW5" s="30" t="s">
        <v>45</v>
      </c>
      <c r="BX5" s="9" t="s">
        <v>50</v>
      </c>
    </row>
    <row r="6" spans="1:76" ht="12.75">
      <c r="A6" s="28" t="s">
        <v>51</v>
      </c>
      <c r="B6" s="9" t="s">
        <v>52</v>
      </c>
      <c r="C6" s="9" t="s">
        <v>43</v>
      </c>
      <c r="D6" s="9" t="s">
        <v>53</v>
      </c>
      <c r="E6" s="9" t="s">
        <v>33</v>
      </c>
      <c r="F6" s="9" t="s">
        <v>54</v>
      </c>
      <c r="G6" s="9" t="s">
        <v>55</v>
      </c>
      <c r="H6" s="4" t="s">
        <v>56</v>
      </c>
      <c r="I6" s="4" t="s">
        <v>33</v>
      </c>
      <c r="J6" s="4">
        <v>0</v>
      </c>
      <c r="K6" s="4"/>
      <c r="L6" s="4" t="s">
        <v>29</v>
      </c>
      <c r="M6" s="4">
        <v>0.2</v>
      </c>
      <c r="N6" s="63"/>
      <c r="O6" s="4">
        <v>0.7</v>
      </c>
      <c r="P6" s="4">
        <v>0.3</v>
      </c>
      <c r="Q6" s="9" t="s">
        <v>150</v>
      </c>
      <c r="R6" s="4" t="s">
        <v>141</v>
      </c>
      <c r="S6" s="4"/>
      <c r="T6" s="4"/>
      <c r="U6" s="4"/>
      <c r="V6" s="4"/>
      <c r="W6" s="4"/>
      <c r="X6" s="4">
        <v>0.8</v>
      </c>
      <c r="Y6" s="63"/>
      <c r="Z6" s="4">
        <v>0.7</v>
      </c>
      <c r="AA6" s="4">
        <v>0.3</v>
      </c>
      <c r="AB6" s="4"/>
      <c r="AC6" s="4"/>
      <c r="AD6" s="4"/>
      <c r="AE6" s="4" t="s">
        <v>32</v>
      </c>
      <c r="AF6" s="4" t="s">
        <v>57</v>
      </c>
      <c r="AG6" s="4" t="s">
        <v>58</v>
      </c>
      <c r="AH6" s="4" t="s">
        <v>59</v>
      </c>
      <c r="AI6" s="9" t="s">
        <v>60</v>
      </c>
      <c r="AJ6" s="9" t="s">
        <v>61</v>
      </c>
      <c r="AK6" s="9" t="s">
        <v>60</v>
      </c>
      <c r="AL6" s="9" t="s">
        <v>60</v>
      </c>
      <c r="AM6" s="9" t="s">
        <v>60</v>
      </c>
      <c r="AN6" s="9" t="s">
        <v>60</v>
      </c>
      <c r="AO6" s="9" t="s">
        <v>60</v>
      </c>
      <c r="AP6" s="9" t="s">
        <v>60</v>
      </c>
      <c r="AQ6" s="9" t="s">
        <v>60</v>
      </c>
      <c r="AR6" s="9" t="s">
        <v>60</v>
      </c>
      <c r="AS6" s="9" t="s">
        <v>60</v>
      </c>
      <c r="AT6" s="9" t="s">
        <v>60</v>
      </c>
      <c r="AU6" s="9" t="s">
        <v>60</v>
      </c>
      <c r="AV6" s="9" t="s">
        <v>60</v>
      </c>
      <c r="AW6" s="9" t="s">
        <v>60</v>
      </c>
      <c r="AX6" s="9" t="s">
        <v>60</v>
      </c>
      <c r="AY6" s="9" t="s">
        <v>60</v>
      </c>
      <c r="AZ6" s="9" t="s">
        <v>60</v>
      </c>
      <c r="BA6" s="9" t="s">
        <v>60</v>
      </c>
      <c r="BB6" s="9" t="s">
        <v>60</v>
      </c>
      <c r="BC6" s="9" t="s">
        <v>60</v>
      </c>
      <c r="BD6" s="9" t="s">
        <v>60</v>
      </c>
      <c r="BE6" s="9" t="s">
        <v>60</v>
      </c>
      <c r="BF6" s="9" t="s">
        <v>60</v>
      </c>
      <c r="BG6" s="9" t="s">
        <v>60</v>
      </c>
      <c r="BH6" s="31" t="s">
        <v>62</v>
      </c>
      <c r="BI6" s="31" t="s">
        <v>63</v>
      </c>
      <c r="BJ6" s="14" t="s">
        <v>64</v>
      </c>
      <c r="BK6" s="14" t="s">
        <v>115</v>
      </c>
      <c r="BL6" s="9" t="s">
        <v>65</v>
      </c>
      <c r="BM6" s="18" t="s">
        <v>116</v>
      </c>
      <c r="BN6" s="9" t="s">
        <v>65</v>
      </c>
      <c r="BO6" s="29" t="s">
        <v>117</v>
      </c>
      <c r="BP6" s="29" t="s">
        <v>65</v>
      </c>
      <c r="BQ6" s="29" t="s">
        <v>148</v>
      </c>
      <c r="BR6" s="29" t="s">
        <v>65</v>
      </c>
      <c r="BS6" s="32" t="s">
        <v>149</v>
      </c>
      <c r="BT6" s="18" t="s">
        <v>66</v>
      </c>
      <c r="BU6" s="14"/>
      <c r="BV6" s="18" t="s">
        <v>67</v>
      </c>
      <c r="BW6" s="30" t="s">
        <v>65</v>
      </c>
      <c r="BX6" s="9" t="s">
        <v>68</v>
      </c>
    </row>
    <row r="7" spans="1:76" ht="12.75">
      <c r="A7" s="28" t="s">
        <v>69</v>
      </c>
      <c r="B7" s="33">
        <f>7185436</f>
        <v>7185436</v>
      </c>
      <c r="C7" s="3">
        <v>5300000</v>
      </c>
      <c r="D7" s="3">
        <f aca="true" t="shared" si="0" ref="D7:D16">+(B7-C7)*0.25</f>
        <v>471359</v>
      </c>
      <c r="E7" s="3">
        <f aca="true" t="shared" si="1" ref="E7:E15">+B7-C7-D7</f>
        <v>1414077</v>
      </c>
      <c r="F7" s="34">
        <f>57550+14531</f>
        <v>72081</v>
      </c>
      <c r="G7" s="34">
        <v>40000</v>
      </c>
      <c r="H7" s="3">
        <f>+E7-1362350</f>
        <v>51727</v>
      </c>
      <c r="I7" s="3">
        <f>+E7-F7-G7-H7</f>
        <v>1250269</v>
      </c>
      <c r="J7" s="3"/>
      <c r="K7" s="3"/>
      <c r="L7" s="3"/>
      <c r="M7" s="3">
        <f aca="true" t="shared" si="2" ref="M7:M15">+(I7+L7)*0.2</f>
        <v>250053.80000000002</v>
      </c>
      <c r="N7" s="23"/>
      <c r="O7" s="3">
        <f aca="true" t="shared" si="3" ref="O7:O13">+M7*0.7</f>
        <v>175037.66</v>
      </c>
      <c r="P7" s="3">
        <f aca="true" t="shared" si="4" ref="P7:P13">+M7*0.3</f>
        <v>75016.14</v>
      </c>
      <c r="Q7" s="3"/>
      <c r="R7" s="3"/>
      <c r="S7" s="3"/>
      <c r="T7" s="3">
        <f aca="true" t="shared" si="5" ref="T7:T15">+P7*0.4</f>
        <v>30006.456000000002</v>
      </c>
      <c r="U7" s="3">
        <f aca="true" t="shared" si="6" ref="U7:U15">+P7*0.6</f>
        <v>45009.684</v>
      </c>
      <c r="V7" s="3"/>
      <c r="W7" s="3"/>
      <c r="X7" s="3">
        <f aca="true" t="shared" si="7" ref="X7:X15">+(I7+L7)*0.8</f>
        <v>1000215.2000000001</v>
      </c>
      <c r="Y7" s="23"/>
      <c r="Z7" s="3">
        <f aca="true" t="shared" si="8" ref="Z7:Z13">+X7*0.7</f>
        <v>700150.64</v>
      </c>
      <c r="AA7" s="3">
        <f aca="true" t="shared" si="9" ref="AA7:AA13">+X7*0.3</f>
        <v>300064.56</v>
      </c>
      <c r="AB7" s="3">
        <f aca="true" t="shared" si="10" ref="AB7:AB15">+AA7*0.4</f>
        <v>120025.82400000001</v>
      </c>
      <c r="AC7" s="3">
        <f aca="true" t="shared" si="11" ref="AC7:AC15">+AA7*0.6</f>
        <v>180038.736</v>
      </c>
      <c r="AD7" s="3"/>
      <c r="AE7" s="3">
        <f aca="true" t="shared" si="12" ref="AE7:AE15">+Z7</f>
        <v>700150.64</v>
      </c>
      <c r="AF7" s="3">
        <v>57095</v>
      </c>
      <c r="AG7" s="3">
        <f>+(AE7-AF7)*0.05</f>
        <v>32152.782000000003</v>
      </c>
      <c r="AH7" s="3">
        <f>+(AE7-AF7-AG7)*0.5</f>
        <v>305451.429</v>
      </c>
      <c r="AI7" s="3">
        <f>+(AE7-AF7-AG7)*0.5</f>
        <v>305451.429</v>
      </c>
      <c r="AJ7" s="3">
        <v>4500000</v>
      </c>
      <c r="AK7" s="3">
        <f aca="true" t="shared" si="13" ref="AK7:AK15">+AI7</f>
        <v>305451.429</v>
      </c>
      <c r="AL7" s="3">
        <f aca="true" t="shared" si="14" ref="AL7:AL15">+AK7*0.33</f>
        <v>100798.97157000001</v>
      </c>
      <c r="AM7" s="3">
        <f>+AK7*0.67</f>
        <v>204652.45743</v>
      </c>
      <c r="AN7" s="3"/>
      <c r="AO7" s="3"/>
      <c r="AP7" s="3"/>
      <c r="AQ7" s="3"/>
      <c r="AR7" s="3"/>
      <c r="AT7" s="20"/>
      <c r="AU7" s="3"/>
      <c r="AV7"/>
      <c r="AW7"/>
      <c r="AZ7" s="3"/>
      <c r="BA7" s="3"/>
      <c r="BH7" s="3">
        <f aca="true" t="shared" si="15" ref="BH7:BH15">SUM(AL7:BG7)</f>
        <v>305451.429</v>
      </c>
      <c r="BI7" s="3">
        <f aca="true" t="shared" si="16" ref="BI7:BI15">+AK7-BH7</f>
        <v>0</v>
      </c>
      <c r="BJ7" s="3">
        <f aca="true" t="shared" si="17" ref="BJ7:BJ15">+AH7</f>
        <v>305451.429</v>
      </c>
      <c r="BK7" s="3"/>
      <c r="BL7" s="3">
        <f aca="true" t="shared" si="18" ref="BL7:BL15">+BJ7-BK7</f>
        <v>305451.429</v>
      </c>
      <c r="BM7" s="3"/>
      <c r="BN7" s="3"/>
      <c r="BO7" s="3"/>
      <c r="BP7" s="3"/>
      <c r="BQ7" s="3"/>
      <c r="BR7" s="3"/>
      <c r="BS7" s="35">
        <f aca="true" t="shared" si="19" ref="BS7:BS13">+BK7+BM7</f>
        <v>0</v>
      </c>
      <c r="BT7" s="3">
        <f>+F7+G7</f>
        <v>112081</v>
      </c>
      <c r="BU7"/>
      <c r="BW7" s="36"/>
      <c r="BX7" s="3">
        <f>533712</f>
        <v>533712</v>
      </c>
    </row>
    <row r="8" spans="1:76" ht="12.75">
      <c r="A8" s="28" t="s">
        <v>70</v>
      </c>
      <c r="B8" s="34">
        <f>7334966</f>
        <v>7334966</v>
      </c>
      <c r="C8" s="3">
        <v>5300000</v>
      </c>
      <c r="D8" s="3">
        <f t="shared" si="0"/>
        <v>508741.5</v>
      </c>
      <c r="E8" s="3">
        <f t="shared" si="1"/>
        <v>1526224.5</v>
      </c>
      <c r="F8" s="34">
        <f>214805-29670+14835-27000</f>
        <v>172970</v>
      </c>
      <c r="G8" s="34">
        <v>27000</v>
      </c>
      <c r="H8" s="3">
        <f>E8-1500000</f>
        <v>26224.5</v>
      </c>
      <c r="I8" s="3">
        <f aca="true" t="shared" si="20" ref="I8:I14">+E8-F8-G8-H8+H7</f>
        <v>1351757</v>
      </c>
      <c r="J8" s="3"/>
      <c r="K8" s="3"/>
      <c r="L8" s="3"/>
      <c r="M8" s="3">
        <f t="shared" si="2"/>
        <v>270351.4</v>
      </c>
      <c r="N8" s="23"/>
      <c r="O8" s="3">
        <f t="shared" si="3"/>
        <v>189245.98</v>
      </c>
      <c r="P8" s="3">
        <f t="shared" si="4"/>
        <v>81105.42</v>
      </c>
      <c r="Q8" s="3"/>
      <c r="R8" s="3"/>
      <c r="S8" s="3"/>
      <c r="T8" s="3">
        <f t="shared" si="5"/>
        <v>32442.168</v>
      </c>
      <c r="U8" s="3">
        <f t="shared" si="6"/>
        <v>48663.252</v>
      </c>
      <c r="V8" s="3"/>
      <c r="W8" s="3"/>
      <c r="X8" s="3">
        <f t="shared" si="7"/>
        <v>1081405.6</v>
      </c>
      <c r="Y8" s="23"/>
      <c r="Z8" s="3">
        <f t="shared" si="8"/>
        <v>756983.92</v>
      </c>
      <c r="AA8" s="3">
        <f t="shared" si="9"/>
        <v>324421.68</v>
      </c>
      <c r="AB8" s="3">
        <f t="shared" si="10"/>
        <v>129768.672</v>
      </c>
      <c r="AC8" s="3">
        <f t="shared" si="11"/>
        <v>194653.008</v>
      </c>
      <c r="AD8" s="3"/>
      <c r="AE8" s="3">
        <f t="shared" si="12"/>
        <v>756983.92</v>
      </c>
      <c r="AF8" s="3"/>
      <c r="AG8" s="3">
        <f aca="true" t="shared" si="21" ref="AG8:AG15">+AE8*0.05</f>
        <v>37849.196</v>
      </c>
      <c r="AH8" s="3">
        <f>+(AE8-AG8)*0.5</f>
        <v>359567.362</v>
      </c>
      <c r="AI8" s="3">
        <f>+(AE8-AG8)*0.5</f>
        <v>359567.362</v>
      </c>
      <c r="AK8" s="3">
        <f t="shared" si="13"/>
        <v>359567.362</v>
      </c>
      <c r="AL8" s="3">
        <f t="shared" si="14"/>
        <v>118657.22946000002</v>
      </c>
      <c r="AM8" s="3">
        <f>+AK8*0.33</f>
        <v>118657.22946000002</v>
      </c>
      <c r="AN8" s="3">
        <f>+$AK8-SUM($AL8:AM8)</f>
        <v>122252.90307999999</v>
      </c>
      <c r="AO8" s="3"/>
      <c r="AP8" s="3"/>
      <c r="AQ8" s="3"/>
      <c r="AR8" s="3"/>
      <c r="AT8" s="20"/>
      <c r="AU8" s="3"/>
      <c r="AV8"/>
      <c r="AW8"/>
      <c r="AZ8" s="3"/>
      <c r="BH8" s="3">
        <f t="shared" si="15"/>
        <v>359567.362</v>
      </c>
      <c r="BI8" s="3">
        <f t="shared" si="16"/>
        <v>0</v>
      </c>
      <c r="BJ8" s="3">
        <f t="shared" si="17"/>
        <v>359567.362</v>
      </c>
      <c r="BK8" s="3">
        <f>51963+53472+206784</f>
        <v>312219</v>
      </c>
      <c r="BL8" s="3">
        <f t="shared" si="18"/>
        <v>47348.36200000002</v>
      </c>
      <c r="BM8" s="3"/>
      <c r="BN8" s="3"/>
      <c r="BO8" s="3"/>
      <c r="BP8" s="3"/>
      <c r="BQ8" s="3"/>
      <c r="BR8" s="3"/>
      <c r="BS8" s="35">
        <f t="shared" si="19"/>
        <v>312219</v>
      </c>
      <c r="BT8" s="3">
        <f aca="true" t="shared" si="22" ref="BT8:BT15">+F8+G8+O7+T7+U7+AB7+AC7+AF7+AG7+AI7+BS8</f>
        <v>1457006.571</v>
      </c>
      <c r="BU8"/>
      <c r="BV8" s="3">
        <f aca="true" t="shared" si="23" ref="BV8:BV15">+BK7/3.5</f>
        <v>0</v>
      </c>
      <c r="BW8" s="36">
        <f>+BJ7-BK7+BJ8-BK8-BV8</f>
        <v>352799.79099999997</v>
      </c>
      <c r="BX8" s="3">
        <f>561182</f>
        <v>561182</v>
      </c>
    </row>
    <row r="9" spans="1:76" ht="12.75">
      <c r="A9" s="28" t="s">
        <v>71</v>
      </c>
      <c r="B9" s="34">
        <v>7909023</v>
      </c>
      <c r="C9" s="3">
        <v>5300000</v>
      </c>
      <c r="D9" s="3">
        <f t="shared" si="0"/>
        <v>652255.75</v>
      </c>
      <c r="E9" s="3">
        <f t="shared" si="1"/>
        <v>1956767.25</v>
      </c>
      <c r="F9" s="34">
        <v>179350</v>
      </c>
      <c r="G9" s="34">
        <v>27000</v>
      </c>
      <c r="H9" s="3">
        <f>+E9*0.1</f>
        <v>195676.725</v>
      </c>
      <c r="I9" s="3">
        <f t="shared" si="20"/>
        <v>1580965.025</v>
      </c>
      <c r="J9" s="3"/>
      <c r="K9" s="3"/>
      <c r="L9" s="3"/>
      <c r="M9" s="3">
        <f t="shared" si="2"/>
        <v>316193.005</v>
      </c>
      <c r="N9" s="23"/>
      <c r="O9" s="3">
        <f t="shared" si="3"/>
        <v>221335.1035</v>
      </c>
      <c r="P9" s="3">
        <f t="shared" si="4"/>
        <v>94857.90149999999</v>
      </c>
      <c r="Q9" s="3"/>
      <c r="R9" s="3"/>
      <c r="S9" s="3"/>
      <c r="T9" s="3">
        <f t="shared" si="5"/>
        <v>37943.160599999996</v>
      </c>
      <c r="U9" s="3">
        <f t="shared" si="6"/>
        <v>56914.7409</v>
      </c>
      <c r="V9" s="3"/>
      <c r="W9" s="3"/>
      <c r="X9" s="3">
        <f t="shared" si="7"/>
        <v>1264772.02</v>
      </c>
      <c r="Y9" s="23"/>
      <c r="Z9" s="3">
        <f t="shared" si="8"/>
        <v>885340.414</v>
      </c>
      <c r="AA9" s="3">
        <f t="shared" si="9"/>
        <v>379431.60599999997</v>
      </c>
      <c r="AB9" s="3">
        <f t="shared" si="10"/>
        <v>151772.64239999998</v>
      </c>
      <c r="AC9" s="3">
        <f t="shared" si="11"/>
        <v>227658.9636</v>
      </c>
      <c r="AD9" s="3"/>
      <c r="AE9" s="3">
        <f t="shared" si="12"/>
        <v>885340.414</v>
      </c>
      <c r="AF9" s="3"/>
      <c r="AG9" s="3">
        <f t="shared" si="21"/>
        <v>44267.0207</v>
      </c>
      <c r="AH9" s="3">
        <f>+(AE9-AG9)*0.5</f>
        <v>420536.69665</v>
      </c>
      <c r="AI9" s="3">
        <f>+(AE9-AG9)*0.5</f>
        <v>420536.69665</v>
      </c>
      <c r="AK9" s="3">
        <f t="shared" si="13"/>
        <v>420536.69665</v>
      </c>
      <c r="AL9" s="3">
        <f t="shared" si="14"/>
        <v>138777.1098945</v>
      </c>
      <c r="AM9" s="3">
        <f>+AK9*0.33*0.5</f>
        <v>69388.55494725</v>
      </c>
      <c r="AN9" s="3">
        <f>+$AK9*0.33*0.5</f>
        <v>69388.55494725</v>
      </c>
      <c r="AO9" s="3">
        <f>+$AK9-SUM($AL9:AN9)</f>
        <v>142982.476861</v>
      </c>
      <c r="AP9" s="3"/>
      <c r="AQ9" s="3"/>
      <c r="AR9" s="3"/>
      <c r="AT9" s="20"/>
      <c r="AU9" s="3"/>
      <c r="AV9"/>
      <c r="AW9"/>
      <c r="AZ9" s="3"/>
      <c r="BH9" s="3">
        <f t="shared" si="15"/>
        <v>420536.69665</v>
      </c>
      <c r="BI9" s="3">
        <f t="shared" si="16"/>
        <v>0</v>
      </c>
      <c r="BJ9" s="3">
        <f t="shared" si="17"/>
        <v>420536.69665</v>
      </c>
      <c r="BK9" s="3">
        <v>303038</v>
      </c>
      <c r="BL9" s="3">
        <f t="shared" si="18"/>
        <v>117498.69665</v>
      </c>
      <c r="BM9" s="3">
        <v>28613</v>
      </c>
      <c r="BN9" s="3">
        <f>BJ7-BK7+BJ8-BK8+BJ9-BK9-BM9</f>
        <v>441685.48765</v>
      </c>
      <c r="BO9" s="3"/>
      <c r="BP9" s="3"/>
      <c r="BQ9" s="3"/>
      <c r="BR9" s="3"/>
      <c r="BS9" s="35">
        <f t="shared" si="19"/>
        <v>331651</v>
      </c>
      <c r="BT9" s="3">
        <f t="shared" si="22"/>
        <v>1530190.638</v>
      </c>
      <c r="BU9"/>
      <c r="BV9" s="3">
        <f t="shared" si="23"/>
        <v>89205.42857142857</v>
      </c>
      <c r="BW9" s="36">
        <f aca="true" t="shared" si="24" ref="BW9:BW15">+BJ9-BK9-BV9</f>
        <v>28293.268078571433</v>
      </c>
      <c r="BX9" s="3">
        <f>560238</f>
        <v>560238</v>
      </c>
    </row>
    <row r="10" spans="1:76" ht="12.75">
      <c r="A10" s="28" t="s">
        <v>72</v>
      </c>
      <c r="B10" s="34">
        <v>8835123.23</v>
      </c>
      <c r="C10" s="3">
        <v>5300000</v>
      </c>
      <c r="D10" s="3">
        <f t="shared" si="0"/>
        <v>883780.8075000001</v>
      </c>
      <c r="E10" s="3">
        <f t="shared" si="1"/>
        <v>2651342.4225000003</v>
      </c>
      <c r="F10" s="3">
        <f>F9*1.05</f>
        <v>188317.5</v>
      </c>
      <c r="G10" s="34">
        <v>27000</v>
      </c>
      <c r="H10" s="3">
        <f>+E10*0.1</f>
        <v>265134.24225000007</v>
      </c>
      <c r="I10" s="3">
        <f t="shared" si="20"/>
        <v>2366567.4052500003</v>
      </c>
      <c r="J10" s="3"/>
      <c r="K10" s="3"/>
      <c r="L10" s="3"/>
      <c r="M10" s="3">
        <f t="shared" si="2"/>
        <v>473313.48105000006</v>
      </c>
      <c r="N10" s="23"/>
      <c r="O10" s="3">
        <f t="shared" si="3"/>
        <v>331319.436735</v>
      </c>
      <c r="P10" s="3">
        <f t="shared" si="4"/>
        <v>141994.044315</v>
      </c>
      <c r="Q10" s="3"/>
      <c r="R10" s="3"/>
      <c r="S10" s="3"/>
      <c r="T10" s="3">
        <f t="shared" si="5"/>
        <v>56797.617726000004</v>
      </c>
      <c r="U10" s="3">
        <f t="shared" si="6"/>
        <v>85196.426589</v>
      </c>
      <c r="V10" s="3"/>
      <c r="W10" s="3"/>
      <c r="X10" s="3">
        <f t="shared" si="7"/>
        <v>1893253.9242000002</v>
      </c>
      <c r="Y10" s="23"/>
      <c r="Z10" s="3">
        <f t="shared" si="8"/>
        <v>1325277.74694</v>
      </c>
      <c r="AA10" s="3">
        <f t="shared" si="9"/>
        <v>567976.17726</v>
      </c>
      <c r="AB10" s="3">
        <f t="shared" si="10"/>
        <v>227190.47090400002</v>
      </c>
      <c r="AC10" s="3">
        <f t="shared" si="11"/>
        <v>340785.706356</v>
      </c>
      <c r="AD10" s="3"/>
      <c r="AE10" s="3">
        <f t="shared" si="12"/>
        <v>1325277.74694</v>
      </c>
      <c r="AF10" s="3"/>
      <c r="AG10" s="3">
        <f t="shared" si="21"/>
        <v>66263.887347</v>
      </c>
      <c r="AH10" s="3">
        <f>+(AE10-AG10)*0.5</f>
        <v>629506.9297965</v>
      </c>
      <c r="AI10" s="3">
        <f>+(AE10-AG10)*0.5</f>
        <v>629506.9297965</v>
      </c>
      <c r="AJ10" s="3">
        <v>3000000</v>
      </c>
      <c r="AK10" s="3">
        <f t="shared" si="13"/>
        <v>629506.9297965</v>
      </c>
      <c r="AL10" s="3">
        <f t="shared" si="14"/>
        <v>207737.286832845</v>
      </c>
      <c r="AM10" s="3"/>
      <c r="AN10" s="3">
        <f>+$AK10*0.33*0.5</f>
        <v>103868.6434164225</v>
      </c>
      <c r="AO10" s="3">
        <f>+$AK10*0.33*0.5</f>
        <v>103868.6434164225</v>
      </c>
      <c r="AP10" s="3">
        <f>+$AK10-SUM($AL10:AO10)</f>
        <v>214032.35613081</v>
      </c>
      <c r="AQ10" s="3"/>
      <c r="AR10" s="3"/>
      <c r="AT10" s="20"/>
      <c r="AU10" s="3"/>
      <c r="AV10"/>
      <c r="AW10"/>
      <c r="AZ10" s="3"/>
      <c r="BH10" s="3">
        <f t="shared" si="15"/>
        <v>629506.9297965</v>
      </c>
      <c r="BI10" s="3">
        <f t="shared" si="16"/>
        <v>0</v>
      </c>
      <c r="BJ10" s="3">
        <f t="shared" si="17"/>
        <v>629506.9297965</v>
      </c>
      <c r="BK10" s="3">
        <v>302528</v>
      </c>
      <c r="BL10" s="3">
        <f t="shared" si="18"/>
        <v>326978.9297965</v>
      </c>
      <c r="BM10" s="3">
        <v>78452</v>
      </c>
      <c r="BN10" s="3">
        <f aca="true" t="shared" si="25" ref="BN10:BN15">+BJ10-BK10-BM10</f>
        <v>248526.92979650002</v>
      </c>
      <c r="BO10" s="3"/>
      <c r="BP10" s="3"/>
      <c r="BQ10" s="3"/>
      <c r="BR10" s="3"/>
      <c r="BS10" s="35">
        <f t="shared" si="19"/>
        <v>380980</v>
      </c>
      <c r="BT10" s="3">
        <f t="shared" si="22"/>
        <v>1756725.82835</v>
      </c>
      <c r="BU10"/>
      <c r="BV10" s="3">
        <f t="shared" si="23"/>
        <v>86582.28571428571</v>
      </c>
      <c r="BW10" s="36">
        <f t="shared" si="24"/>
        <v>240396.6440822143</v>
      </c>
      <c r="BX10" s="3">
        <f>559950</f>
        <v>559950</v>
      </c>
    </row>
    <row r="11" spans="1:76" ht="12.75">
      <c r="A11" s="28" t="s">
        <v>73</v>
      </c>
      <c r="B11" s="34">
        <v>9927799.45</v>
      </c>
      <c r="C11" s="3">
        <v>5300000</v>
      </c>
      <c r="D11" s="3">
        <f t="shared" si="0"/>
        <v>1156949.8624999998</v>
      </c>
      <c r="E11" s="3">
        <f t="shared" si="1"/>
        <v>3470849.5874999994</v>
      </c>
      <c r="F11" s="3">
        <f>F10*1.05</f>
        <v>197733.375</v>
      </c>
      <c r="G11" s="34">
        <v>27000</v>
      </c>
      <c r="H11" s="3">
        <f>+E11*0.1</f>
        <v>347084.95875</v>
      </c>
      <c r="I11" s="3">
        <f t="shared" si="20"/>
        <v>3164165.4959999993</v>
      </c>
      <c r="J11" s="3"/>
      <c r="K11" s="3"/>
      <c r="L11" s="3"/>
      <c r="M11" s="3">
        <f t="shared" si="2"/>
        <v>632833.0991999999</v>
      </c>
      <c r="N11" s="23"/>
      <c r="O11" s="3">
        <f t="shared" si="3"/>
        <v>442983.1694399999</v>
      </c>
      <c r="P11" s="3">
        <f t="shared" si="4"/>
        <v>189849.92975999997</v>
      </c>
      <c r="Q11" s="3"/>
      <c r="R11" s="3"/>
      <c r="S11" s="3"/>
      <c r="T11" s="3">
        <f t="shared" si="5"/>
        <v>75939.97190399999</v>
      </c>
      <c r="U11" s="3">
        <f t="shared" si="6"/>
        <v>113909.95785599998</v>
      </c>
      <c r="V11" s="3"/>
      <c r="W11" s="3"/>
      <c r="X11" s="3">
        <f t="shared" si="7"/>
        <v>2531332.3967999998</v>
      </c>
      <c r="Y11" s="23"/>
      <c r="Z11" s="3">
        <f t="shared" si="8"/>
        <v>1771932.6777599996</v>
      </c>
      <c r="AA11" s="3">
        <f t="shared" si="9"/>
        <v>759399.7190399999</v>
      </c>
      <c r="AB11" s="3">
        <f t="shared" si="10"/>
        <v>303759.88761599996</v>
      </c>
      <c r="AC11" s="3">
        <f t="shared" si="11"/>
        <v>455639.8314239999</v>
      </c>
      <c r="AD11" s="3"/>
      <c r="AE11" s="3">
        <f t="shared" si="12"/>
        <v>1771932.6777599996</v>
      </c>
      <c r="AF11" s="3"/>
      <c r="AG11" s="3">
        <f t="shared" si="21"/>
        <v>88596.63388799998</v>
      </c>
      <c r="AH11" s="3">
        <f>+(AE11-AG11)*0.5</f>
        <v>841668.0219359999</v>
      </c>
      <c r="AI11" s="3">
        <f>+(AE11-AG11)*0.5</f>
        <v>841668.0219359999</v>
      </c>
      <c r="AK11" s="3">
        <f t="shared" si="13"/>
        <v>841668.0219359999</v>
      </c>
      <c r="AL11" s="3">
        <f t="shared" si="14"/>
        <v>277750.44723888</v>
      </c>
      <c r="AM11" s="3"/>
      <c r="AN11" s="3"/>
      <c r="AO11" s="3">
        <f>+$AK11*0.33*0.5</f>
        <v>138875.22361944</v>
      </c>
      <c r="AP11" s="3">
        <f>+$AK11*0.33*0.5</f>
        <v>138875.22361944</v>
      </c>
      <c r="AQ11" s="3">
        <f>+$AK11-SUM($AL11:AP11)</f>
        <v>286167.1274582399</v>
      </c>
      <c r="AR11" s="3"/>
      <c r="AT11" s="20"/>
      <c r="AU11" s="3"/>
      <c r="AV11"/>
      <c r="AW11"/>
      <c r="AZ11" s="3"/>
      <c r="BH11" s="3">
        <f t="shared" si="15"/>
        <v>841668.0219359999</v>
      </c>
      <c r="BI11" s="3">
        <f t="shared" si="16"/>
        <v>0</v>
      </c>
      <c r="BJ11" s="3">
        <f t="shared" si="17"/>
        <v>841668.0219359999</v>
      </c>
      <c r="BK11" s="3">
        <v>302373</v>
      </c>
      <c r="BL11" s="3">
        <f t="shared" si="18"/>
        <v>539295.0219359999</v>
      </c>
      <c r="BM11" s="3">
        <v>77252</v>
      </c>
      <c r="BN11" s="3">
        <f t="shared" si="25"/>
        <v>462043.02193599986</v>
      </c>
      <c r="BO11" s="3"/>
      <c r="BP11" s="3"/>
      <c r="BQ11" s="3"/>
      <c r="BR11" s="3"/>
      <c r="BS11" s="35">
        <f t="shared" si="19"/>
        <v>379625</v>
      </c>
      <c r="BT11" s="3">
        <f t="shared" si="22"/>
        <v>2341418.8504535</v>
      </c>
      <c r="BU11"/>
      <c r="BV11" s="3">
        <f t="shared" si="23"/>
        <v>86436.57142857143</v>
      </c>
      <c r="BW11" s="36">
        <f t="shared" si="24"/>
        <v>452858.45050742844</v>
      </c>
      <c r="BX11" s="3">
        <f>559275</f>
        <v>559275</v>
      </c>
    </row>
    <row r="12" spans="1:76" ht="12.75">
      <c r="A12" s="28" t="s">
        <v>74</v>
      </c>
      <c r="B12" s="34">
        <v>10876172</v>
      </c>
      <c r="C12" s="3">
        <v>5300000</v>
      </c>
      <c r="D12" s="3">
        <f t="shared" si="0"/>
        <v>1394043</v>
      </c>
      <c r="E12" s="3">
        <f t="shared" si="1"/>
        <v>4182129</v>
      </c>
      <c r="F12" s="3">
        <f>+E12*0.08</f>
        <v>334570.32</v>
      </c>
      <c r="G12" s="3"/>
      <c r="H12" s="3">
        <f>+E12*0.1</f>
        <v>418212.9</v>
      </c>
      <c r="I12" s="3">
        <f t="shared" si="20"/>
        <v>3776430.7387500005</v>
      </c>
      <c r="J12" s="3"/>
      <c r="K12" s="3"/>
      <c r="L12" s="3"/>
      <c r="M12" s="3">
        <f t="shared" si="2"/>
        <v>755286.1477500001</v>
      </c>
      <c r="N12" s="23"/>
      <c r="O12" s="3">
        <f t="shared" si="3"/>
        <v>528700.303425</v>
      </c>
      <c r="P12" s="3">
        <f t="shared" si="4"/>
        <v>226585.84432500004</v>
      </c>
      <c r="Q12" s="3" t="s">
        <v>85</v>
      </c>
      <c r="R12" s="3"/>
      <c r="S12" s="3"/>
      <c r="T12" s="3">
        <f t="shared" si="5"/>
        <v>90634.33773000003</v>
      </c>
      <c r="U12" s="3">
        <f t="shared" si="6"/>
        <v>135951.506595</v>
      </c>
      <c r="V12" s="3"/>
      <c r="W12" s="3"/>
      <c r="X12" s="3">
        <f t="shared" si="7"/>
        <v>3021144.5910000005</v>
      </c>
      <c r="Y12" s="23"/>
      <c r="Z12" s="3">
        <f t="shared" si="8"/>
        <v>2114801.2137</v>
      </c>
      <c r="AA12" s="3">
        <f t="shared" si="9"/>
        <v>906343.3773000002</v>
      </c>
      <c r="AB12" s="3">
        <f t="shared" si="10"/>
        <v>362537.3509200001</v>
      </c>
      <c r="AC12" s="3">
        <f t="shared" si="11"/>
        <v>543806.02638</v>
      </c>
      <c r="AD12" s="3"/>
      <c r="AE12" s="3">
        <f t="shared" si="12"/>
        <v>2114801.2137</v>
      </c>
      <c r="AF12" s="3"/>
      <c r="AG12" s="3">
        <f t="shared" si="21"/>
        <v>105740.06068500002</v>
      </c>
      <c r="AH12" s="78">
        <f>BS12</f>
        <v>382960</v>
      </c>
      <c r="AK12" s="3">
        <f t="shared" si="13"/>
        <v>0</v>
      </c>
      <c r="AL12" s="3">
        <f t="shared" si="14"/>
        <v>0</v>
      </c>
      <c r="AM12" s="3"/>
      <c r="AN12" s="3"/>
      <c r="AO12" s="3"/>
      <c r="AP12" s="3">
        <f>+$AK12*0.33*0.5</f>
        <v>0</v>
      </c>
      <c r="AQ12" s="3">
        <f>+$AK12*0.33*0.5</f>
        <v>0</v>
      </c>
      <c r="AR12" s="3">
        <f>+$AK12-SUM($AL12:AQ12)</f>
        <v>0</v>
      </c>
      <c r="AS12" s="3"/>
      <c r="AT12" s="20"/>
      <c r="AU12" s="3"/>
      <c r="AV12"/>
      <c r="AW12"/>
      <c r="AZ12" s="3"/>
      <c r="BC12" s="31"/>
      <c r="BH12" s="3">
        <f t="shared" si="15"/>
        <v>0</v>
      </c>
      <c r="BI12" s="3">
        <f t="shared" si="16"/>
        <v>0</v>
      </c>
      <c r="BJ12" s="3">
        <f t="shared" si="17"/>
        <v>382960</v>
      </c>
      <c r="BK12" s="3">
        <v>302008</v>
      </c>
      <c r="BL12" s="3">
        <f t="shared" si="18"/>
        <v>80952</v>
      </c>
      <c r="BM12" s="3">
        <v>80952</v>
      </c>
      <c r="BN12" s="3">
        <f t="shared" si="25"/>
        <v>0</v>
      </c>
      <c r="BO12" s="3"/>
      <c r="BP12" s="3"/>
      <c r="BQ12" s="3"/>
      <c r="BR12" s="3"/>
      <c r="BS12" s="35">
        <f t="shared" si="19"/>
        <v>382960</v>
      </c>
      <c r="BT12" s="3">
        <f t="shared" si="22"/>
        <v>3040027.7940639993</v>
      </c>
      <c r="BU12"/>
      <c r="BV12" s="3">
        <f t="shared" si="23"/>
        <v>86392.28571428571</v>
      </c>
      <c r="BW12" s="36">
        <f t="shared" si="24"/>
        <v>-5440.28571428571</v>
      </c>
      <c r="BX12" s="3">
        <f>560511</f>
        <v>560511</v>
      </c>
    </row>
    <row r="13" spans="1:76" ht="12.75">
      <c r="A13" s="28" t="s">
        <v>75</v>
      </c>
      <c r="B13" s="34">
        <v>11938397.53</v>
      </c>
      <c r="C13" s="3">
        <v>5300000</v>
      </c>
      <c r="D13" s="3">
        <f t="shared" si="0"/>
        <v>1659599.3824999998</v>
      </c>
      <c r="E13" s="3">
        <f t="shared" si="1"/>
        <v>4978798.147499999</v>
      </c>
      <c r="F13" s="3">
        <f>+E13*0.096</f>
        <v>477964.6221599999</v>
      </c>
      <c r="G13" s="3">
        <v>25000</v>
      </c>
      <c r="H13" s="3">
        <f>+E13*0.1</f>
        <v>497879.8147499999</v>
      </c>
      <c r="I13" s="3">
        <f t="shared" si="20"/>
        <v>4396166.61059</v>
      </c>
      <c r="J13" s="3"/>
      <c r="K13" s="3"/>
      <c r="L13" s="3"/>
      <c r="M13" s="3">
        <f t="shared" si="2"/>
        <v>879233.322118</v>
      </c>
      <c r="N13" s="23"/>
      <c r="O13" s="3">
        <f t="shared" si="3"/>
        <v>615463.3254826</v>
      </c>
      <c r="P13" s="3">
        <f t="shared" si="4"/>
        <v>263769.9966354</v>
      </c>
      <c r="Q13" s="3"/>
      <c r="R13" s="3"/>
      <c r="S13" s="3"/>
      <c r="T13" s="3">
        <f t="shared" si="5"/>
        <v>105507.99865416001</v>
      </c>
      <c r="U13" s="3">
        <f t="shared" si="6"/>
        <v>158261.99798123998</v>
      </c>
      <c r="V13" s="3"/>
      <c r="W13" s="3"/>
      <c r="X13" s="3">
        <f t="shared" si="7"/>
        <v>3516933.288472</v>
      </c>
      <c r="Y13" s="23"/>
      <c r="Z13" s="3">
        <f t="shared" si="8"/>
        <v>2461853.3019304</v>
      </c>
      <c r="AA13" s="3">
        <f t="shared" si="9"/>
        <v>1055079.9865416</v>
      </c>
      <c r="AB13" s="3">
        <f t="shared" si="10"/>
        <v>422031.99461664003</v>
      </c>
      <c r="AC13" s="3">
        <f t="shared" si="11"/>
        <v>633047.9919249599</v>
      </c>
      <c r="AD13" s="3"/>
      <c r="AE13" s="3">
        <f t="shared" si="12"/>
        <v>2461853.3019304</v>
      </c>
      <c r="AF13" s="3"/>
      <c r="AG13" s="3">
        <f t="shared" si="21"/>
        <v>123092.66509652001</v>
      </c>
      <c r="AH13" s="78">
        <f>BS13</f>
        <v>382228</v>
      </c>
      <c r="AK13" s="3">
        <f t="shared" si="13"/>
        <v>0</v>
      </c>
      <c r="AL13" s="3">
        <f t="shared" si="14"/>
        <v>0</v>
      </c>
      <c r="AM13" s="37"/>
      <c r="AN13" s="3"/>
      <c r="AO13" s="3"/>
      <c r="AQ13" s="3">
        <f>+$AK13*0.33*0.5</f>
        <v>0</v>
      </c>
      <c r="AR13" s="3">
        <f>+$AK13*0.33*0.5</f>
        <v>0</v>
      </c>
      <c r="AS13" s="3">
        <f>+$AK13-SUM($AL13:AR13)</f>
        <v>0</v>
      </c>
      <c r="AT13" s="20"/>
      <c r="AU13" s="31"/>
      <c r="AV13"/>
      <c r="AW13"/>
      <c r="AZ13" s="31"/>
      <c r="BC13" s="31"/>
      <c r="BH13" s="3">
        <f t="shared" si="15"/>
        <v>0</v>
      </c>
      <c r="BI13" s="3">
        <f t="shared" si="16"/>
        <v>0</v>
      </c>
      <c r="BJ13" s="3">
        <f t="shared" si="17"/>
        <v>382228</v>
      </c>
      <c r="BK13" s="3">
        <v>302676</v>
      </c>
      <c r="BL13" s="3">
        <f t="shared" si="18"/>
        <v>79552</v>
      </c>
      <c r="BM13" s="3">
        <v>79552</v>
      </c>
      <c r="BN13" s="3">
        <f t="shared" si="25"/>
        <v>0</v>
      </c>
      <c r="BO13" s="3"/>
      <c r="BP13" s="3"/>
      <c r="BQ13" s="3"/>
      <c r="BR13" s="3"/>
      <c r="BS13" s="35">
        <f t="shared" si="19"/>
        <v>382228</v>
      </c>
      <c r="BT13" s="3">
        <f t="shared" si="22"/>
        <v>2652562.207895</v>
      </c>
      <c r="BU13"/>
      <c r="BV13" s="3">
        <f t="shared" si="23"/>
        <v>86288</v>
      </c>
      <c r="BW13" s="36">
        <f t="shared" si="24"/>
        <v>-6736</v>
      </c>
      <c r="BX13" s="3">
        <f>560703</f>
        <v>560703</v>
      </c>
    </row>
    <row r="14" spans="1:76" ht="12.75">
      <c r="A14" s="28" t="s">
        <v>76</v>
      </c>
      <c r="B14" s="34">
        <v>12673863</v>
      </c>
      <c r="C14" s="3">
        <v>5300000</v>
      </c>
      <c r="D14" s="3">
        <f t="shared" si="0"/>
        <v>1843465.75</v>
      </c>
      <c r="E14" s="3">
        <f t="shared" si="1"/>
        <v>5530397.25</v>
      </c>
      <c r="F14" s="3">
        <f>+E14*0.096</f>
        <v>530918.136</v>
      </c>
      <c r="G14" s="3"/>
      <c r="H14" s="3"/>
      <c r="I14" s="3">
        <f t="shared" si="20"/>
        <v>5497358.92875</v>
      </c>
      <c r="J14" s="3"/>
      <c r="K14" s="3"/>
      <c r="L14" s="3"/>
      <c r="M14" s="3">
        <f t="shared" si="2"/>
        <v>1099471.78575</v>
      </c>
      <c r="N14" s="23">
        <v>-66512</v>
      </c>
      <c r="O14" s="23">
        <f>SUM(M14:N14)*0.7</f>
        <v>723071.8500249999</v>
      </c>
      <c r="P14" s="23">
        <f>SUM(M14:N14)*0.3</f>
        <v>309887.935725</v>
      </c>
      <c r="Q14" s="23"/>
      <c r="R14" s="23"/>
      <c r="S14" s="23"/>
      <c r="T14" s="23">
        <f t="shared" si="5"/>
        <v>123955.17429</v>
      </c>
      <c r="U14" s="23">
        <f t="shared" si="6"/>
        <v>185932.761435</v>
      </c>
      <c r="V14" s="23"/>
      <c r="W14" s="23"/>
      <c r="X14" s="23">
        <f t="shared" si="7"/>
        <v>4397887.143</v>
      </c>
      <c r="Y14" s="23">
        <v>-254601</v>
      </c>
      <c r="Z14" s="23">
        <f>SUM(X14:Y14)*0.7</f>
        <v>2900300.3001</v>
      </c>
      <c r="AA14" s="23">
        <f>SUM(X14:Y14)*0.3</f>
        <v>1242985.8429</v>
      </c>
      <c r="AB14" s="23">
        <f t="shared" si="10"/>
        <v>497194.33716000005</v>
      </c>
      <c r="AC14" s="23">
        <f t="shared" si="11"/>
        <v>745791.50574</v>
      </c>
      <c r="AD14" s="23"/>
      <c r="AE14" s="23">
        <f t="shared" si="12"/>
        <v>2900300.3001</v>
      </c>
      <c r="AF14" s="3"/>
      <c r="AG14" s="23">
        <f t="shared" si="21"/>
        <v>145015.01500500002</v>
      </c>
      <c r="AH14" s="78">
        <f>BS14</f>
        <v>530526</v>
      </c>
      <c r="AI14" s="23"/>
      <c r="AK14" s="3">
        <f t="shared" si="13"/>
        <v>0</v>
      </c>
      <c r="AL14" s="3">
        <f t="shared" si="14"/>
        <v>0</v>
      </c>
      <c r="AM14" s="3"/>
      <c r="AN14" s="3"/>
      <c r="AO14" s="3"/>
      <c r="AP14" s="3"/>
      <c r="AQ14" s="3"/>
      <c r="AR14" s="3">
        <f>+$AK14*0.33*0.5</f>
        <v>0</v>
      </c>
      <c r="AS14" s="3">
        <f>+$AK14*0.33*0.5</f>
        <v>0</v>
      </c>
      <c r="AT14" s="3">
        <f>+$AK14-SUM($AL14:AS14)</f>
        <v>0</v>
      </c>
      <c r="AU14" s="20"/>
      <c r="AV14"/>
      <c r="AW14"/>
      <c r="AZ14" s="31"/>
      <c r="BA14" s="31"/>
      <c r="BB14" s="31"/>
      <c r="BC14" s="31"/>
      <c r="BH14" s="3">
        <f t="shared" si="15"/>
        <v>0</v>
      </c>
      <c r="BI14" s="3">
        <f t="shared" si="16"/>
        <v>0</v>
      </c>
      <c r="BJ14" s="3">
        <f t="shared" si="17"/>
        <v>530526</v>
      </c>
      <c r="BK14" s="23">
        <f>241401+51779</f>
        <v>293180</v>
      </c>
      <c r="BL14" s="3">
        <f t="shared" si="18"/>
        <v>237346</v>
      </c>
      <c r="BM14" s="3">
        <v>82512</v>
      </c>
      <c r="BN14" s="3">
        <f t="shared" si="25"/>
        <v>154834</v>
      </c>
      <c r="BO14" s="3">
        <v>154834</v>
      </c>
      <c r="BP14" s="3">
        <f>+BJ14-BK14-BM14-BO14</f>
        <v>0</v>
      </c>
      <c r="BQ14" s="3"/>
      <c r="BR14" s="3"/>
      <c r="BS14" s="38">
        <f>+BK14+BM14+BO14</f>
        <v>530526</v>
      </c>
      <c r="BT14" s="3">
        <f t="shared" si="22"/>
        <v>3118850.10975612</v>
      </c>
      <c r="BU14"/>
      <c r="BV14" s="3">
        <f t="shared" si="23"/>
        <v>86478.85714285714</v>
      </c>
      <c r="BW14" s="36">
        <f t="shared" si="24"/>
        <v>150867.14285714284</v>
      </c>
      <c r="BX14" s="3">
        <f>560803</f>
        <v>560803</v>
      </c>
    </row>
    <row r="15" spans="1:76" ht="12.75">
      <c r="A15" s="28" t="s">
        <v>151</v>
      </c>
      <c r="B15" s="34">
        <v>14005807.2</v>
      </c>
      <c r="C15" s="3">
        <v>5300000</v>
      </c>
      <c r="D15" s="3">
        <f t="shared" si="0"/>
        <v>2176451.8</v>
      </c>
      <c r="E15" s="3">
        <f t="shared" si="1"/>
        <v>6529355.399999999</v>
      </c>
      <c r="F15" s="23">
        <f>+E15*0.101</f>
        <v>659464.8954</v>
      </c>
      <c r="G15" s="3"/>
      <c r="H15" s="3"/>
      <c r="I15" s="3">
        <f>+E15-F15-G15-H15</f>
        <v>5869890.5046</v>
      </c>
      <c r="J15" s="3"/>
      <c r="K15" s="3"/>
      <c r="L15" s="3"/>
      <c r="M15" s="3">
        <f t="shared" si="2"/>
        <v>1173978.1009199999</v>
      </c>
      <c r="N15" s="23">
        <v>-137219</v>
      </c>
      <c r="O15" s="23">
        <f>SUM(M15:N15)*0.7</f>
        <v>725731.3706439999</v>
      </c>
      <c r="P15" s="23">
        <f>SUM(M15:N15)*0.3</f>
        <v>311027.73027599993</v>
      </c>
      <c r="Q15" s="23"/>
      <c r="R15" s="23"/>
      <c r="S15" s="23"/>
      <c r="T15" s="23">
        <f t="shared" si="5"/>
        <v>124411.09211039997</v>
      </c>
      <c r="U15" s="23">
        <f t="shared" si="6"/>
        <v>186616.63816559996</v>
      </c>
      <c r="V15" s="23"/>
      <c r="W15" s="23"/>
      <c r="X15" s="23">
        <f t="shared" si="7"/>
        <v>4695912.4036799995</v>
      </c>
      <c r="Y15" s="23">
        <v>-529161</v>
      </c>
      <c r="Z15" s="23">
        <f>SUM(X15:Y15)*0.7</f>
        <v>2916725.9825759996</v>
      </c>
      <c r="AA15" s="23">
        <f>SUM(X15:Y15)*0.3</f>
        <v>1250025.4211039997</v>
      </c>
      <c r="AB15" s="23">
        <f t="shared" si="10"/>
        <v>500010.16844159993</v>
      </c>
      <c r="AC15" s="23">
        <f t="shared" si="11"/>
        <v>750015.2526623998</v>
      </c>
      <c r="AD15" s="23"/>
      <c r="AE15" s="23">
        <f t="shared" si="12"/>
        <v>2916725.9825759996</v>
      </c>
      <c r="AF15" s="3"/>
      <c r="AG15" s="23">
        <f t="shared" si="21"/>
        <v>145836.2991288</v>
      </c>
      <c r="AH15" s="78">
        <f>BS15</f>
        <v>683205</v>
      </c>
      <c r="AI15" s="23"/>
      <c r="AK15" s="3">
        <f t="shared" si="13"/>
        <v>0</v>
      </c>
      <c r="AL15" s="3">
        <f t="shared" si="14"/>
        <v>0</v>
      </c>
      <c r="AM15" s="3"/>
      <c r="AN15" s="3"/>
      <c r="AO15" s="3"/>
      <c r="AP15" s="3"/>
      <c r="AQ15" s="3"/>
      <c r="AS15" s="3">
        <f>+$AK15*0.33*0.5</f>
        <v>0</v>
      </c>
      <c r="AT15" s="3">
        <f>+$AK15*0.33*0.5</f>
        <v>0</v>
      </c>
      <c r="AU15" s="3">
        <f>+$AK15-SUM($AL15:AT15)</f>
        <v>0</v>
      </c>
      <c r="AV15"/>
      <c r="AW15"/>
      <c r="AZ15" s="31"/>
      <c r="BA15" s="31"/>
      <c r="BB15" s="31"/>
      <c r="BC15" s="31"/>
      <c r="BH15" s="3">
        <f t="shared" si="15"/>
        <v>0</v>
      </c>
      <c r="BI15" s="3">
        <f t="shared" si="16"/>
        <v>0</v>
      </c>
      <c r="BJ15" s="3">
        <f t="shared" si="17"/>
        <v>683205</v>
      </c>
      <c r="BK15" s="23">
        <f>180076+113297</f>
        <v>293373</v>
      </c>
      <c r="BL15" s="3">
        <f t="shared" si="18"/>
        <v>389832</v>
      </c>
      <c r="BM15" s="3">
        <v>79832</v>
      </c>
      <c r="BN15" s="3">
        <f t="shared" si="25"/>
        <v>310000</v>
      </c>
      <c r="BO15" s="3">
        <v>310000</v>
      </c>
      <c r="BP15" s="3">
        <f>+BJ15-BK15-BM15-BO15</f>
        <v>0</v>
      </c>
      <c r="BQ15" s="3"/>
      <c r="BR15" s="3"/>
      <c r="BS15" s="38">
        <f>+BK15+BM15+BO15</f>
        <v>683205</v>
      </c>
      <c r="BT15" s="3">
        <f t="shared" si="22"/>
        <v>3763630.5390549996</v>
      </c>
      <c r="BU15"/>
      <c r="BV15" s="3">
        <f t="shared" si="23"/>
        <v>83765.71428571429</v>
      </c>
      <c r="BW15" s="36">
        <f t="shared" si="24"/>
        <v>306066.2857142857</v>
      </c>
      <c r="BX15" s="3">
        <f>560982</f>
        <v>560982</v>
      </c>
    </row>
    <row r="16" spans="1:76" ht="12.75">
      <c r="A16" s="28" t="s">
        <v>77</v>
      </c>
      <c r="B16" s="3">
        <f>SUM(B7:B15)</f>
        <v>90686587.41000001</v>
      </c>
      <c r="C16" s="3">
        <f>SUM(C7:C15)</f>
        <v>47700000</v>
      </c>
      <c r="D16" s="3">
        <f t="shared" si="0"/>
        <v>10746646.852500003</v>
      </c>
      <c r="E16" s="3">
        <f>SUM(E3:E15)</f>
        <v>32239940.557499997</v>
      </c>
      <c r="F16" s="3">
        <f>SUM(F7:F15)</f>
        <v>2813369.84856</v>
      </c>
      <c r="G16" s="3">
        <f>SUM(G7:G15)</f>
        <v>173000</v>
      </c>
      <c r="H16" s="3"/>
      <c r="I16" s="3">
        <f aca="true" t="shared" si="26" ref="I16:AL16">SUM(I7:I15)</f>
        <v>29253570.70894</v>
      </c>
      <c r="J16" s="3">
        <f t="shared" si="26"/>
        <v>0</v>
      </c>
      <c r="K16" s="3"/>
      <c r="L16" s="3">
        <f t="shared" si="26"/>
        <v>0</v>
      </c>
      <c r="M16" s="3">
        <f t="shared" si="26"/>
        <v>5850714.141788</v>
      </c>
      <c r="N16" s="23">
        <f>SUM(N14:N15)</f>
        <v>-203731</v>
      </c>
      <c r="O16" s="23">
        <f t="shared" si="26"/>
        <v>3952888.1992516</v>
      </c>
      <c r="P16" s="23">
        <f t="shared" si="26"/>
        <v>1694094.9425364002</v>
      </c>
      <c r="Q16" s="23"/>
      <c r="R16" s="23"/>
      <c r="S16" s="23"/>
      <c r="T16" s="23">
        <f t="shared" si="26"/>
        <v>677637.97701456</v>
      </c>
      <c r="U16" s="23">
        <f t="shared" si="26"/>
        <v>1016456.9655218399</v>
      </c>
      <c r="V16" s="23"/>
      <c r="W16" s="23"/>
      <c r="X16" s="23">
        <f t="shared" si="26"/>
        <v>23402856.567152</v>
      </c>
      <c r="Y16" s="23">
        <f t="shared" si="26"/>
        <v>-783762</v>
      </c>
      <c r="Z16" s="23">
        <f t="shared" si="26"/>
        <v>15833366.1970064</v>
      </c>
      <c r="AA16" s="23">
        <f t="shared" si="26"/>
        <v>6785728.370145601</v>
      </c>
      <c r="AB16" s="23">
        <f t="shared" si="26"/>
        <v>2714291.3480582405</v>
      </c>
      <c r="AC16" s="23">
        <f t="shared" si="26"/>
        <v>4071437.02208736</v>
      </c>
      <c r="AD16" s="23"/>
      <c r="AE16" s="23">
        <f t="shared" si="26"/>
        <v>15833366.1970064</v>
      </c>
      <c r="AF16" s="3">
        <f t="shared" si="26"/>
        <v>57095</v>
      </c>
      <c r="AG16" s="3">
        <f t="shared" si="26"/>
        <v>788813.55985032</v>
      </c>
      <c r="AH16" s="3">
        <f t="shared" si="26"/>
        <v>4535649.4393825</v>
      </c>
      <c r="AI16" s="3">
        <f t="shared" si="26"/>
        <v>2556730.4393825</v>
      </c>
      <c r="AJ16" s="3">
        <f t="shared" si="26"/>
        <v>7500000</v>
      </c>
      <c r="AK16" s="3">
        <f t="shared" si="26"/>
        <v>2556730.4393825</v>
      </c>
      <c r="AL16" s="3">
        <f t="shared" si="26"/>
        <v>843721.044996225</v>
      </c>
      <c r="AM16" s="3"/>
      <c r="AN16" s="3"/>
      <c r="AO16" s="3"/>
      <c r="AP16" s="3"/>
      <c r="AQ16" s="3"/>
      <c r="AR16" s="3"/>
      <c r="AS16" s="3"/>
      <c r="AT16" s="20"/>
      <c r="AU16" s="3"/>
      <c r="AV16"/>
      <c r="AW16"/>
      <c r="BA16" s="31"/>
      <c r="BB16" s="31"/>
      <c r="BC16" s="31"/>
      <c r="BH16" s="3">
        <f>SUM(BH7:BH15)</f>
        <v>2556730.4393825</v>
      </c>
      <c r="BI16" s="3"/>
      <c r="BJ16" s="3">
        <f aca="true" t="shared" si="27" ref="BJ16:BT16">SUM(BJ7:BJ15)</f>
        <v>4535649.4393825</v>
      </c>
      <c r="BK16" s="3">
        <f t="shared" si="27"/>
        <v>2411395</v>
      </c>
      <c r="BL16" s="3">
        <f t="shared" si="27"/>
        <v>2124254.4393825</v>
      </c>
      <c r="BM16" s="3">
        <f t="shared" si="27"/>
        <v>507165</v>
      </c>
      <c r="BN16" s="3">
        <f t="shared" si="27"/>
        <v>1617089.4393825</v>
      </c>
      <c r="BO16" s="3">
        <f t="shared" si="27"/>
        <v>464834</v>
      </c>
      <c r="BP16" s="3">
        <f t="shared" si="27"/>
        <v>0</v>
      </c>
      <c r="BQ16" s="3"/>
      <c r="BR16" s="3"/>
      <c r="BS16" s="35">
        <f t="shared" si="27"/>
        <v>3383394</v>
      </c>
      <c r="BT16" s="3">
        <f t="shared" si="27"/>
        <v>19772493.53857362</v>
      </c>
      <c r="BU16"/>
      <c r="BV16" s="3">
        <f>SUM(BV7:BV15)</f>
        <v>605149.1428571428</v>
      </c>
      <c r="BW16" s="36">
        <f>SUM(BW7:BW15)</f>
        <v>1519105.296525357</v>
      </c>
      <c r="BX16" s="3">
        <f>SUM(BX7:BX15)</f>
        <v>5017356</v>
      </c>
    </row>
    <row r="17" spans="1:76" ht="12.75">
      <c r="A17" s="2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3"/>
      <c r="O17" s="3"/>
      <c r="P17" s="3"/>
      <c r="Q17" s="3"/>
      <c r="R17" s="3"/>
      <c r="S17" s="3"/>
      <c r="T17" s="3"/>
      <c r="U17" s="3"/>
      <c r="V17" s="3"/>
      <c r="W17" s="3"/>
      <c r="X17" s="3"/>
      <c r="Y17" s="23"/>
      <c r="Z17" s="3"/>
      <c r="AA17" s="3"/>
      <c r="AB17" s="3"/>
      <c r="AC17" s="3"/>
      <c r="AD17" s="3"/>
      <c r="AE17" s="3"/>
      <c r="AF17" s="3"/>
      <c r="AK17" s="3"/>
      <c r="AL17" s="3"/>
      <c r="AM17" s="3"/>
      <c r="AN17" s="3"/>
      <c r="AO17" s="3"/>
      <c r="AP17" s="3"/>
      <c r="AQ17" s="3"/>
      <c r="AR17" s="3"/>
      <c r="AS17" s="3"/>
      <c r="AT17" s="20"/>
      <c r="AU17" s="3"/>
      <c r="AV17"/>
      <c r="AW17"/>
      <c r="BA17" s="31"/>
      <c r="BB17" s="31"/>
      <c r="BC17" s="31"/>
      <c r="BH17" s="3"/>
      <c r="BI17" s="3"/>
      <c r="BK17" s="3"/>
      <c r="BL17" s="3"/>
      <c r="BM17" s="3"/>
      <c r="BN17" s="3"/>
      <c r="BO17" s="3"/>
      <c r="BP17" s="3"/>
      <c r="BQ17" s="3"/>
      <c r="BR17" s="3"/>
      <c r="BT17" s="20"/>
      <c r="BU17"/>
      <c r="BW17" s="36"/>
      <c r="BX17" s="3"/>
    </row>
    <row r="18" spans="1:76" ht="12.75">
      <c r="A18" s="28"/>
      <c r="B18" s="3"/>
      <c r="C18" s="3"/>
      <c r="D18" s="3"/>
      <c r="E18" s="3"/>
      <c r="F18" s="3"/>
      <c r="G18" s="4" t="s">
        <v>8</v>
      </c>
      <c r="H18" s="9" t="s">
        <v>78</v>
      </c>
      <c r="I18" s="9" t="s">
        <v>9</v>
      </c>
      <c r="J18" s="4" t="s">
        <v>29</v>
      </c>
      <c r="K18" s="4" t="s">
        <v>137</v>
      </c>
      <c r="L18" s="9" t="s">
        <v>127</v>
      </c>
      <c r="M18" s="9" t="s">
        <v>79</v>
      </c>
      <c r="N18" s="29"/>
      <c r="O18" s="9" t="s">
        <v>80</v>
      </c>
      <c r="P18" s="18" t="s">
        <v>13</v>
      </c>
      <c r="Q18" s="9" t="s">
        <v>12</v>
      </c>
      <c r="R18" s="9" t="s">
        <v>12</v>
      </c>
      <c r="S18" s="9" t="s">
        <v>12</v>
      </c>
      <c r="T18" s="9" t="s">
        <v>13</v>
      </c>
      <c r="U18" s="9" t="s">
        <v>12</v>
      </c>
      <c r="V18" s="9" t="s">
        <v>12</v>
      </c>
      <c r="W18" s="9" t="s">
        <v>12</v>
      </c>
      <c r="X18" s="9" t="s">
        <v>81</v>
      </c>
      <c r="Y18" s="29" t="s">
        <v>125</v>
      </c>
      <c r="Z18" s="9" t="s">
        <v>14</v>
      </c>
      <c r="AA18" s="9" t="s">
        <v>171</v>
      </c>
      <c r="AB18" s="9" t="s">
        <v>14</v>
      </c>
      <c r="AC18" s="9" t="s">
        <v>14</v>
      </c>
      <c r="AD18" s="9" t="s">
        <v>14</v>
      </c>
      <c r="AE18" s="3"/>
      <c r="AF18" s="3"/>
      <c r="AK18" s="3"/>
      <c r="AL18" s="3"/>
      <c r="AM18" s="3"/>
      <c r="AN18" s="3"/>
      <c r="AO18" s="3"/>
      <c r="AP18" s="3"/>
      <c r="AQ18" s="3"/>
      <c r="AR18" s="3"/>
      <c r="AT18" s="20"/>
      <c r="AU18" s="3"/>
      <c r="AV18"/>
      <c r="AW18"/>
      <c r="AZ18" s="3"/>
      <c r="BB18" s="31"/>
      <c r="BC18" s="31"/>
      <c r="BD18" s="31"/>
      <c r="BH18" s="3"/>
      <c r="BI18" s="3"/>
      <c r="BK18" s="3"/>
      <c r="BL18" s="3"/>
      <c r="BM18" s="3"/>
      <c r="BN18" s="3"/>
      <c r="BO18" s="3"/>
      <c r="BP18" s="3"/>
      <c r="BQ18" s="3"/>
      <c r="BR18" s="3"/>
      <c r="BT18" s="20"/>
      <c r="BU18"/>
      <c r="BW18" s="36"/>
      <c r="BX18" s="3"/>
    </row>
    <row r="19" spans="1:76" ht="12.75">
      <c r="A19" s="28"/>
      <c r="B19" s="13" t="s">
        <v>82</v>
      </c>
      <c r="C19" s="9" t="s">
        <v>22</v>
      </c>
      <c r="D19" s="9" t="s">
        <v>83</v>
      </c>
      <c r="E19" s="9" t="s">
        <v>24</v>
      </c>
      <c r="F19" s="9" t="s">
        <v>25</v>
      </c>
      <c r="G19" s="9" t="s">
        <v>26</v>
      </c>
      <c r="H19" s="9" t="s">
        <v>27</v>
      </c>
      <c r="I19" s="9" t="s">
        <v>28</v>
      </c>
      <c r="J19" s="39">
        <v>0.4</v>
      </c>
      <c r="K19" s="39" t="s">
        <v>33</v>
      </c>
      <c r="L19" s="9" t="s">
        <v>30</v>
      </c>
      <c r="M19" s="9" t="s">
        <v>128</v>
      </c>
      <c r="N19" s="29"/>
      <c r="O19" s="4" t="s">
        <v>84</v>
      </c>
      <c r="P19" s="18" t="s">
        <v>152</v>
      </c>
      <c r="Q19" s="18" t="s">
        <v>172</v>
      </c>
      <c r="R19" s="9" t="s">
        <v>159</v>
      </c>
      <c r="S19" s="9" t="s">
        <v>153</v>
      </c>
      <c r="T19" s="4" t="s">
        <v>162</v>
      </c>
      <c r="U19" s="4" t="s">
        <v>34</v>
      </c>
      <c r="V19" s="4" t="s">
        <v>158</v>
      </c>
      <c r="W19" s="4" t="s">
        <v>167</v>
      </c>
      <c r="X19" s="9" t="s">
        <v>128</v>
      </c>
      <c r="Y19" s="29" t="s">
        <v>123</v>
      </c>
      <c r="Z19" s="4" t="s">
        <v>170</v>
      </c>
      <c r="AA19" s="9" t="s">
        <v>157</v>
      </c>
      <c r="AB19" s="9" t="s">
        <v>34</v>
      </c>
      <c r="AC19" s="9" t="s">
        <v>175</v>
      </c>
      <c r="AD19" s="9" t="s">
        <v>174</v>
      </c>
      <c r="AE19" s="9" t="s">
        <v>14</v>
      </c>
      <c r="AF19" s="9"/>
      <c r="AG19" s="9" t="s">
        <v>37</v>
      </c>
      <c r="AH19" s="9" t="s">
        <v>38</v>
      </c>
      <c r="AI19" s="9"/>
      <c r="AK19" s="3"/>
      <c r="AL19" s="3"/>
      <c r="AM19" s="3"/>
      <c r="AN19" s="3"/>
      <c r="AO19" s="3"/>
      <c r="AP19" s="3"/>
      <c r="AQ19" s="3"/>
      <c r="AR19" s="3"/>
      <c r="AT19" s="20"/>
      <c r="AU19" s="3"/>
      <c r="AV19"/>
      <c r="AW19"/>
      <c r="AZ19" s="3"/>
      <c r="BA19" s="3"/>
      <c r="BB19" s="31"/>
      <c r="BC19" s="31"/>
      <c r="BD19" s="31"/>
      <c r="BH19" s="3"/>
      <c r="BI19" s="3"/>
      <c r="BJ19" s="9"/>
      <c r="BK19" s="3"/>
      <c r="BL19" s="3"/>
      <c r="BM19" s="3"/>
      <c r="BN19" s="3"/>
      <c r="BO19" s="3"/>
      <c r="BP19" s="3" t="s">
        <v>85</v>
      </c>
      <c r="BQ19" s="3"/>
      <c r="BR19" s="3"/>
      <c r="BT19" s="20"/>
      <c r="BU19"/>
      <c r="BW19" s="36"/>
      <c r="BX19" s="3"/>
    </row>
    <row r="20" spans="1:76" ht="12.75">
      <c r="A20" s="28" t="s">
        <v>86</v>
      </c>
      <c r="B20" s="9" t="s">
        <v>87</v>
      </c>
      <c r="C20" s="9" t="s">
        <v>43</v>
      </c>
      <c r="D20" s="9" t="s">
        <v>53</v>
      </c>
      <c r="E20" s="9" t="s">
        <v>33</v>
      </c>
      <c r="F20" s="9" t="s">
        <v>54</v>
      </c>
      <c r="G20" s="9" t="s">
        <v>55</v>
      </c>
      <c r="H20" s="4" t="s">
        <v>56</v>
      </c>
      <c r="I20" s="4" t="s">
        <v>33</v>
      </c>
      <c r="J20" s="14" t="s">
        <v>88</v>
      </c>
      <c r="K20" s="14" t="s">
        <v>138</v>
      </c>
      <c r="L20" s="4" t="s">
        <v>29</v>
      </c>
      <c r="M20" s="72">
        <v>0.2</v>
      </c>
      <c r="N20" s="63"/>
      <c r="O20" s="4"/>
      <c r="P20" s="14" t="s">
        <v>154</v>
      </c>
      <c r="Q20" s="9" t="s">
        <v>145</v>
      </c>
      <c r="R20" s="20" t="s">
        <v>160</v>
      </c>
      <c r="S20" s="20" t="s">
        <v>161</v>
      </c>
      <c r="T20" s="18" t="s">
        <v>157</v>
      </c>
      <c r="U20" s="14"/>
      <c r="V20" s="14" t="s">
        <v>166</v>
      </c>
      <c r="W20" s="14" t="s">
        <v>196</v>
      </c>
      <c r="X20" s="72">
        <v>0.8</v>
      </c>
      <c r="Y20" s="63"/>
      <c r="Z20" s="73">
        <v>0.39</v>
      </c>
      <c r="AA20" s="73">
        <v>0.39</v>
      </c>
      <c r="AB20" s="73">
        <v>0.09</v>
      </c>
      <c r="AC20" s="73">
        <v>0.08</v>
      </c>
      <c r="AD20" s="73">
        <v>0.05</v>
      </c>
      <c r="AE20" s="4" t="s">
        <v>170</v>
      </c>
      <c r="AF20" s="4"/>
      <c r="AG20" s="4" t="s">
        <v>58</v>
      </c>
      <c r="AH20" s="4" t="s">
        <v>59</v>
      </c>
      <c r="AI20" s="9"/>
      <c r="AK20" s="3"/>
      <c r="AL20" s="3"/>
      <c r="AM20" s="3"/>
      <c r="AN20" s="3"/>
      <c r="AO20" s="3"/>
      <c r="AP20" s="3"/>
      <c r="AQ20" s="3"/>
      <c r="AR20" s="3"/>
      <c r="AT20" s="20"/>
      <c r="AU20" s="3"/>
      <c r="AV20"/>
      <c r="AW20"/>
      <c r="AZ20" s="3"/>
      <c r="BA20" s="3"/>
      <c r="BB20" s="31"/>
      <c r="BC20" s="31"/>
      <c r="BD20" s="31"/>
      <c r="BH20" s="3"/>
      <c r="BI20" s="3"/>
      <c r="BJ20" s="4"/>
      <c r="BK20" s="3"/>
      <c r="BL20" s="3"/>
      <c r="BM20" s="3"/>
      <c r="BN20" s="3"/>
      <c r="BO20" s="3"/>
      <c r="BP20" s="3"/>
      <c r="BQ20" s="3"/>
      <c r="BR20" s="3"/>
      <c r="BU20"/>
      <c r="BW20" s="36"/>
      <c r="BX20" s="3"/>
    </row>
    <row r="21" spans="1:76" ht="12.75">
      <c r="A21" s="28"/>
      <c r="B21" s="9"/>
      <c r="C21" s="9"/>
      <c r="D21" s="9"/>
      <c r="E21" s="9"/>
      <c r="F21" s="9"/>
      <c r="G21" s="9"/>
      <c r="H21" s="4"/>
      <c r="I21" s="4"/>
      <c r="J21" s="14"/>
      <c r="K21" s="14"/>
      <c r="L21" s="4"/>
      <c r="M21" s="4"/>
      <c r="N21" s="63"/>
      <c r="O21" s="4"/>
      <c r="P21" s="70">
        <v>0.7</v>
      </c>
      <c r="Q21" s="9"/>
      <c r="R21" s="69">
        <v>0.8</v>
      </c>
      <c r="S21" s="69">
        <v>0.2</v>
      </c>
      <c r="T21" s="70">
        <v>0.3</v>
      </c>
      <c r="U21" s="71">
        <v>0.3333333333333333</v>
      </c>
      <c r="V21" s="71">
        <v>0.3333333333333333</v>
      </c>
      <c r="W21" s="71">
        <v>0.3333333333333333</v>
      </c>
      <c r="X21" s="4"/>
      <c r="Y21" s="63"/>
      <c r="Z21" s="14"/>
      <c r="AA21" s="14"/>
      <c r="AB21" s="14"/>
      <c r="AC21" s="14"/>
      <c r="AD21" s="14"/>
      <c r="AE21" s="4"/>
      <c r="AF21" s="4"/>
      <c r="AG21" s="4"/>
      <c r="AH21" s="4"/>
      <c r="AI21" s="9"/>
      <c r="AK21" s="3"/>
      <c r="AL21" s="3"/>
      <c r="AM21" s="3"/>
      <c r="AN21" s="3"/>
      <c r="AO21" s="3"/>
      <c r="AP21" s="3"/>
      <c r="AQ21" s="3"/>
      <c r="AR21" s="3"/>
      <c r="AT21" s="20"/>
      <c r="AU21" s="3"/>
      <c r="AV21"/>
      <c r="AW21"/>
      <c r="AZ21" s="3"/>
      <c r="BA21" s="3"/>
      <c r="BB21" s="31"/>
      <c r="BC21" s="31"/>
      <c r="BD21" s="31"/>
      <c r="BH21" s="3"/>
      <c r="BI21" s="3"/>
      <c r="BJ21" s="4"/>
      <c r="BK21" s="3"/>
      <c r="BL21" s="3"/>
      <c r="BM21" s="3"/>
      <c r="BN21" s="3"/>
      <c r="BO21" s="3"/>
      <c r="BP21" s="3"/>
      <c r="BQ21" s="3"/>
      <c r="BR21" s="3"/>
      <c r="BT21" s="20"/>
      <c r="BU21"/>
      <c r="BW21" s="36"/>
      <c r="BX21" s="3"/>
    </row>
    <row r="22" spans="1:76" ht="12.75">
      <c r="A22" s="28" t="s">
        <v>191</v>
      </c>
      <c r="B22" s="34">
        <v>13937553</v>
      </c>
      <c r="C22" s="3">
        <v>5300000</v>
      </c>
      <c r="D22" s="3">
        <f aca="true" t="shared" si="28" ref="D22:D33">+(B22-C22)*0.3</f>
        <v>2591265.9</v>
      </c>
      <c r="E22" s="3">
        <f aca="true" t="shared" si="29" ref="E22:E33">+B22-C22-D22</f>
        <v>6046287.1</v>
      </c>
      <c r="F22" s="3">
        <f>+E22*0.101</f>
        <v>610674.9971</v>
      </c>
      <c r="G22" s="3"/>
      <c r="H22" s="3"/>
      <c r="I22" s="3">
        <f aca="true" t="shared" si="30" ref="I22:I33">+E22-F22-G22-H22</f>
        <v>5435612.102899999</v>
      </c>
      <c r="J22" s="3">
        <f aca="true" t="shared" si="31" ref="J22:J33">+I22*0.4</f>
        <v>2174244.84116</v>
      </c>
      <c r="K22" s="3">
        <f>I22*0.6</f>
        <v>3261367.2617399995</v>
      </c>
      <c r="L22" s="3"/>
      <c r="M22" s="3">
        <f>+(I22*0.6*0.2)</f>
        <v>652273.4523479999</v>
      </c>
      <c r="N22" s="23">
        <f>N16*0.6*-1</f>
        <v>122238.59999999999</v>
      </c>
      <c r="O22" s="23">
        <f>SUM(M22:N22)</f>
        <v>774512.0523479999</v>
      </c>
      <c r="P22" s="3">
        <f>(O22-Q22)*$P$21</f>
        <v>542158.4366435999</v>
      </c>
      <c r="Q22" s="23"/>
      <c r="R22" s="23">
        <f aca="true" t="shared" si="32" ref="R22:R33">P22*$R$21</f>
        <v>433726.74931487994</v>
      </c>
      <c r="S22" s="23">
        <f aca="true" t="shared" si="33" ref="S22:S33">P22*$S$21</f>
        <v>108431.68732871999</v>
      </c>
      <c r="T22" s="23">
        <f>(O22-Q22)*$T$21</f>
        <v>232353.61570439997</v>
      </c>
      <c r="U22" s="23">
        <f>T22*$U$21</f>
        <v>77451.20523479999</v>
      </c>
      <c r="V22" s="23">
        <f>T22*$V$21</f>
        <v>77451.20523479999</v>
      </c>
      <c r="W22" s="23">
        <f>T22*$W$21-0.4</f>
        <v>77450.80523479999</v>
      </c>
      <c r="X22" s="23">
        <f>+(I22*0.6*0.8)</f>
        <v>2609093.8093919996</v>
      </c>
      <c r="Y22" s="23">
        <f>Y16*0.6*-1</f>
        <v>470257.2</v>
      </c>
      <c r="Z22" s="23">
        <f>(SUM(X22,Y22)-BS22)*$Z$20</f>
        <v>883355.07366288</v>
      </c>
      <c r="AA22" s="23">
        <f>(SUM(X22,Y22)-BS22)*$AA$20</f>
        <v>883355.07366288</v>
      </c>
      <c r="AB22" s="23">
        <f>(SUM(X22,Y22)-BS22)*$AB$20</f>
        <v>203851.17084527996</v>
      </c>
      <c r="AC22" s="23">
        <f>(SUM(X22,Y22)-BS22)*AC20</f>
        <v>181201.04075135998</v>
      </c>
      <c r="AD22" s="23">
        <f>(SUM(X22,Y22)-BS22)*$AD$20</f>
        <v>113250.65046959999</v>
      </c>
      <c r="AE22" s="23">
        <f aca="true" t="shared" si="34" ref="AE22:AE33">+Z22</f>
        <v>883355.07366288</v>
      </c>
      <c r="AF22" s="3"/>
      <c r="AG22" s="23">
        <f aca="true" t="shared" si="35" ref="AG22:AG33">+AE22*0.05</f>
        <v>44167.753683144</v>
      </c>
      <c r="AH22" s="78">
        <f aca="true" t="shared" si="36" ref="AH22:AH42">BS22</f>
        <v>814338</v>
      </c>
      <c r="AI22" s="23"/>
      <c r="AJ22"/>
      <c r="AK22" s="3">
        <f aca="true" t="shared" si="37" ref="AK22:AK33">+AI22</f>
        <v>0</v>
      </c>
      <c r="AL22" s="3">
        <f aca="true" t="shared" si="38" ref="AL22:AL33">+AK22*0.33</f>
        <v>0</v>
      </c>
      <c r="AM22" s="3"/>
      <c r="AN22" s="3"/>
      <c r="AO22" s="3"/>
      <c r="AP22" s="3"/>
      <c r="AQ22" s="3"/>
      <c r="AR22" s="3"/>
      <c r="AT22" s="3">
        <f>+$AK22*0.33*0.5</f>
        <v>0</v>
      </c>
      <c r="AU22" s="3">
        <f>+$AK22*0.33*0.5</f>
        <v>0</v>
      </c>
      <c r="AV22" s="3">
        <f>+$AK22-SUM($AL22:AU22)</f>
        <v>0</v>
      </c>
      <c r="AW22"/>
      <c r="AZ22" s="3"/>
      <c r="BA22" s="3"/>
      <c r="BB22" s="31"/>
      <c r="BC22" s="31"/>
      <c r="BD22" s="31"/>
      <c r="BH22" s="3">
        <f aca="true" t="shared" si="39" ref="BH22:BH33">SUM(AL22:BG22)</f>
        <v>0</v>
      </c>
      <c r="BI22" s="3">
        <f aca="true" t="shared" si="40" ref="BI22:BI33">+AK22-BH22</f>
        <v>0</v>
      </c>
      <c r="BJ22" s="3">
        <f aca="true" t="shared" si="41" ref="BJ22:BJ33">+AH22</f>
        <v>814338</v>
      </c>
      <c r="BK22" s="23">
        <f>180172+113214</f>
        <v>293386</v>
      </c>
      <c r="BL22" s="3">
        <f aca="true" t="shared" si="42" ref="BL22:BL33">+BJ22-BK22</f>
        <v>520952</v>
      </c>
      <c r="BM22" s="3">
        <v>77152</v>
      </c>
      <c r="BN22" s="3">
        <f aca="true" t="shared" si="43" ref="BN22:BN35">+BJ22-BK22-BM22</f>
        <v>443800</v>
      </c>
      <c r="BO22" s="3">
        <v>309800</v>
      </c>
      <c r="BP22" s="3">
        <f>+BJ22-BK22-BM22-BO22</f>
        <v>134000</v>
      </c>
      <c r="BQ22" s="3">
        <v>134000</v>
      </c>
      <c r="BR22" s="3">
        <f>+BL22-BM22-BO22-BQ22</f>
        <v>0</v>
      </c>
      <c r="BS22" s="38">
        <f>+BK22+BM22+BO22+BQ22</f>
        <v>814338</v>
      </c>
      <c r="BT22" s="3">
        <f>+F22+G22+O15+T15+U15+AB15+AC15+AF15+AG15+AI15+BS22</f>
        <v>3857633.8182527996</v>
      </c>
      <c r="BU22" s="8"/>
      <c r="BV22" s="3">
        <f>+BK15/3.5</f>
        <v>83820.85714285714</v>
      </c>
      <c r="BW22" s="36">
        <f aca="true" t="shared" si="44" ref="BW22:BW33">+BJ22-BK22-BV22</f>
        <v>437131.14285714284</v>
      </c>
      <c r="BX22" s="3">
        <f>562019</f>
        <v>562019</v>
      </c>
    </row>
    <row r="23" spans="1:76" ht="12.75">
      <c r="A23" s="28">
        <v>2002</v>
      </c>
      <c r="B23" s="3">
        <f aca="true" t="shared" si="45" ref="B23:B33">B22*$B$3</f>
        <v>13937553</v>
      </c>
      <c r="C23" s="3">
        <v>5300000</v>
      </c>
      <c r="D23" s="3">
        <f t="shared" si="28"/>
        <v>2591265.9</v>
      </c>
      <c r="E23" s="3">
        <f t="shared" si="29"/>
        <v>6046287.1</v>
      </c>
      <c r="F23" s="24">
        <f aca="true" t="shared" si="46" ref="F23:F33">+E23*$F$3</f>
        <v>816248.7585</v>
      </c>
      <c r="G23" s="3"/>
      <c r="H23" s="3"/>
      <c r="I23" s="3">
        <f t="shared" si="30"/>
        <v>5230038.341499999</v>
      </c>
      <c r="J23" s="3">
        <f t="shared" si="31"/>
        <v>2092015.3365999998</v>
      </c>
      <c r="K23" s="3">
        <f aca="true" t="shared" si="47" ref="K23:K33">I23*0.6</f>
        <v>3138023.0048999996</v>
      </c>
      <c r="L23" s="3">
        <f>+J22*0.07</f>
        <v>152197.1388812</v>
      </c>
      <c r="M23" s="3">
        <f>+(I23*0.6*0.2)</f>
        <v>627604.60098</v>
      </c>
      <c r="N23" s="23">
        <f>N16*0.4*-1</f>
        <v>81492.40000000001</v>
      </c>
      <c r="O23" s="23">
        <f>SUM(M23:N23)</f>
        <v>709097.00098</v>
      </c>
      <c r="P23" s="3">
        <f aca="true" t="shared" si="48" ref="P23:P33">(O23-Q23)*$P$21</f>
        <v>454772.58468599996</v>
      </c>
      <c r="Q23" s="23">
        <f>193421.88-134000</f>
        <v>59421.880000000005</v>
      </c>
      <c r="R23" s="23">
        <f t="shared" si="32"/>
        <v>363818.0677488</v>
      </c>
      <c r="S23" s="23">
        <f t="shared" si="33"/>
        <v>90954.5169372</v>
      </c>
      <c r="T23" s="23">
        <f aca="true" t="shared" si="49" ref="T23:T33">(O23-Q23)*$T$21</f>
        <v>194902.536294</v>
      </c>
      <c r="U23" s="23">
        <f aca="true" t="shared" si="50" ref="U23:U33">T23*$U$21</f>
        <v>64967.51209799999</v>
      </c>
      <c r="V23" s="23">
        <f aca="true" t="shared" si="51" ref="V23:V33">T23*$V$21</f>
        <v>64967.51209799999</v>
      </c>
      <c r="W23" s="23">
        <f>T23*$W$21+0.4</f>
        <v>64967.91209799999</v>
      </c>
      <c r="X23" s="23">
        <f>+(I23*0.6*0.8)</f>
        <v>2510418.40392</v>
      </c>
      <c r="Y23" s="23">
        <f>Y16*0.4*-1</f>
        <v>313504.8</v>
      </c>
      <c r="Z23" s="23">
        <f aca="true" t="shared" si="52" ref="Z23:Z33">(SUM(X23,Y23)-BS23)*$Z$20</f>
        <v>782751.9195288</v>
      </c>
      <c r="AA23" s="23">
        <f aca="true" t="shared" si="53" ref="AA23:AA33">(SUM(X23,Y23)-BS23)*$AA$20</f>
        <v>782751.9195288</v>
      </c>
      <c r="AB23" s="23">
        <f aca="true" t="shared" si="54" ref="AB23:AB33">(SUM(X23,Y23)-BS23)*$AB$20</f>
        <v>180635.05835279997</v>
      </c>
      <c r="AC23" s="23">
        <f aca="true" t="shared" si="55" ref="AC23:AC33">(SUM(X23,Y23)-BS23)*$AC$20</f>
        <v>160564.4963136</v>
      </c>
      <c r="AD23" s="23">
        <f aca="true" t="shared" si="56" ref="AD23:AD33">(SUM(X23,Y23)-BS23)*$AD$20</f>
        <v>100352.81019599999</v>
      </c>
      <c r="AE23" s="23">
        <f t="shared" si="34"/>
        <v>782751.9195288</v>
      </c>
      <c r="AF23" s="3"/>
      <c r="AG23" s="23">
        <f t="shared" si="35"/>
        <v>39137.595976439996</v>
      </c>
      <c r="AH23" s="78">
        <f t="shared" si="36"/>
        <v>816867</v>
      </c>
      <c r="AI23" s="23"/>
      <c r="AK23" s="3">
        <f t="shared" si="37"/>
        <v>0</v>
      </c>
      <c r="AL23" s="3">
        <f t="shared" si="38"/>
        <v>0</v>
      </c>
      <c r="AM23" s="3"/>
      <c r="AN23" s="3"/>
      <c r="AO23" s="3"/>
      <c r="AP23" s="3"/>
      <c r="AQ23" s="3"/>
      <c r="AR23" s="3"/>
      <c r="AT23" s="20"/>
      <c r="AU23" s="3">
        <f>+$AK23*0.33*0.5</f>
        <v>0</v>
      </c>
      <c r="AV23" s="3">
        <f>+$AK23*0.33*0.5</f>
        <v>0</v>
      </c>
      <c r="AW23" s="3">
        <f>+$AK23-SUM($AL23:AV23)</f>
        <v>0</v>
      </c>
      <c r="AZ23" s="3"/>
      <c r="BA23" s="3"/>
      <c r="BB23" s="31"/>
      <c r="BC23" s="31"/>
      <c r="BD23" s="31"/>
      <c r="BH23" s="3">
        <f t="shared" si="39"/>
        <v>0</v>
      </c>
      <c r="BI23" s="3">
        <f t="shared" si="40"/>
        <v>0</v>
      </c>
      <c r="BJ23" s="3">
        <f t="shared" si="41"/>
        <v>816867</v>
      </c>
      <c r="BK23" s="23">
        <f>180732+113113</f>
        <v>293845</v>
      </c>
      <c r="BL23" s="3">
        <f t="shared" si="42"/>
        <v>523022</v>
      </c>
      <c r="BM23" s="3">
        <v>79822</v>
      </c>
      <c r="BN23" s="3">
        <f t="shared" si="43"/>
        <v>443200</v>
      </c>
      <c r="BO23" s="3">
        <v>309200</v>
      </c>
      <c r="BP23" s="3">
        <f>+BJ23-BK23-BM23-BO23</f>
        <v>134000</v>
      </c>
      <c r="BQ23" s="3">
        <v>134000</v>
      </c>
      <c r="BR23" s="3">
        <f aca="true" t="shared" si="57" ref="BR23:BR42">+BL23-BM23-BO23-BQ23</f>
        <v>0</v>
      </c>
      <c r="BS23" s="38">
        <f aca="true" t="shared" si="58" ref="BS23:BS42">+BK23+BM23+BO23+BQ23</f>
        <v>816867</v>
      </c>
      <c r="BT23" s="3">
        <f>+F23+G23+Q22+R22+S22+U22+V22+W22+Z22+AA22+AB22+AC22+AG22+AI22+BS23</f>
        <v>4603557.523453544</v>
      </c>
      <c r="BU23" s="8"/>
      <c r="BV23" s="3">
        <f aca="true" t="shared" si="59" ref="BV23:BV33">+BK22/3.5</f>
        <v>83824.57142857143</v>
      </c>
      <c r="BW23" s="36">
        <f t="shared" si="44"/>
        <v>439197.4285714286</v>
      </c>
      <c r="BX23" s="3">
        <f>561765</f>
        <v>561765</v>
      </c>
    </row>
    <row r="24" spans="1:76" ht="12.75">
      <c r="A24" s="28">
        <v>2003</v>
      </c>
      <c r="B24" s="3">
        <f t="shared" si="45"/>
        <v>13937553</v>
      </c>
      <c r="C24" s="3">
        <v>5300000</v>
      </c>
      <c r="D24" s="3">
        <f t="shared" si="28"/>
        <v>2591265.9</v>
      </c>
      <c r="E24" s="3">
        <f t="shared" si="29"/>
        <v>6046287.1</v>
      </c>
      <c r="F24" s="3">
        <f t="shared" si="46"/>
        <v>816248.7585</v>
      </c>
      <c r="G24" s="3">
        <v>30000</v>
      </c>
      <c r="H24" s="3"/>
      <c r="I24" s="3">
        <f t="shared" si="30"/>
        <v>5200038.341499999</v>
      </c>
      <c r="J24" s="3">
        <f t="shared" si="31"/>
        <v>2080015.3365999998</v>
      </c>
      <c r="K24" s="3">
        <f t="shared" si="47"/>
        <v>3120023.0048999996</v>
      </c>
      <c r="L24" s="3">
        <f>SUM(J22:J23)*0.07</f>
        <v>298638.2124432</v>
      </c>
      <c r="M24" s="3">
        <f aca="true" t="shared" si="60" ref="M24:M33">+(I24*0.6*0.2)</f>
        <v>624004.60098</v>
      </c>
      <c r="N24" s="23"/>
      <c r="O24" s="3">
        <f>SUM(M24:N24)</f>
        <v>624004.60098</v>
      </c>
      <c r="P24" s="3">
        <f t="shared" si="48"/>
        <v>396159.47068599996</v>
      </c>
      <c r="Q24" s="23">
        <f>192062.5-134000</f>
        <v>58062.5</v>
      </c>
      <c r="R24" s="23">
        <f t="shared" si="32"/>
        <v>316927.5765488</v>
      </c>
      <c r="S24" s="23">
        <f t="shared" si="33"/>
        <v>79231.8941372</v>
      </c>
      <c r="T24" s="23">
        <f t="shared" si="49"/>
        <v>169782.630294</v>
      </c>
      <c r="U24" s="23">
        <f t="shared" si="50"/>
        <v>56594.210097999996</v>
      </c>
      <c r="V24" s="23">
        <f t="shared" si="51"/>
        <v>56594.210097999996</v>
      </c>
      <c r="W24" s="23">
        <f aca="true" t="shared" si="61" ref="W24:W30">T24*$W$21</f>
        <v>56594.210097999996</v>
      </c>
      <c r="X24" s="3">
        <f>+(I24*0.6*0.8)</f>
        <v>2496018.40392</v>
      </c>
      <c r="Y24" s="65"/>
      <c r="Z24" s="23">
        <f t="shared" si="52"/>
        <v>655975.8675288</v>
      </c>
      <c r="AA24" s="23">
        <f t="shared" si="53"/>
        <v>655975.8675288</v>
      </c>
      <c r="AB24" s="23">
        <f t="shared" si="54"/>
        <v>151379.04635279998</v>
      </c>
      <c r="AC24" s="23">
        <f t="shared" si="55"/>
        <v>134559.1523136</v>
      </c>
      <c r="AD24" s="23">
        <f t="shared" si="56"/>
        <v>84099.47019600001</v>
      </c>
      <c r="AE24" s="3">
        <f t="shared" si="34"/>
        <v>655975.8675288</v>
      </c>
      <c r="AF24" s="3"/>
      <c r="AG24" s="3">
        <f t="shared" si="35"/>
        <v>32798.79337644</v>
      </c>
      <c r="AH24" s="78">
        <f t="shared" si="36"/>
        <v>814029</v>
      </c>
      <c r="AJ24" s="3">
        <v>3500000</v>
      </c>
      <c r="AK24" s="3">
        <f t="shared" si="37"/>
        <v>0</v>
      </c>
      <c r="AL24" s="3">
        <f t="shared" si="38"/>
        <v>0</v>
      </c>
      <c r="AM24" s="3"/>
      <c r="AN24" s="3"/>
      <c r="AO24" s="3"/>
      <c r="AP24" s="3"/>
      <c r="AQ24" s="3"/>
      <c r="AR24" s="3"/>
      <c r="AT24" s="20"/>
      <c r="AU24" s="3"/>
      <c r="AV24" s="3">
        <f>+$AK24*0.33*0.5</f>
        <v>0</v>
      </c>
      <c r="AW24" s="3">
        <f>+$AK24*0.33*0.5</f>
        <v>0</v>
      </c>
      <c r="AX24" s="3">
        <f>+$AK24-SUM($AL24:AW24)</f>
        <v>0</v>
      </c>
      <c r="AY24"/>
      <c r="AZ24" s="3"/>
      <c r="BA24" s="3"/>
      <c r="BB24" s="31"/>
      <c r="BC24" s="31"/>
      <c r="BD24" s="31"/>
      <c r="BH24" s="3">
        <f t="shared" si="39"/>
        <v>0</v>
      </c>
      <c r="BI24" s="3">
        <f t="shared" si="40"/>
        <v>0</v>
      </c>
      <c r="BJ24" s="3">
        <f t="shared" si="41"/>
        <v>814029</v>
      </c>
      <c r="BK24" s="23">
        <f>180595+113415</f>
        <v>294010</v>
      </c>
      <c r="BL24" s="3">
        <f t="shared" si="42"/>
        <v>520019</v>
      </c>
      <c r="BM24" s="3">
        <v>77819</v>
      </c>
      <c r="BN24" s="3">
        <f t="shared" si="43"/>
        <v>442200</v>
      </c>
      <c r="BO24" s="3">
        <v>308200</v>
      </c>
      <c r="BP24" s="3">
        <f>+BJ24-BK24-BM24-BO24</f>
        <v>134000</v>
      </c>
      <c r="BQ24" s="3">
        <v>134000</v>
      </c>
      <c r="BR24" s="67">
        <f t="shared" si="57"/>
        <v>0</v>
      </c>
      <c r="BS24" s="38">
        <f t="shared" si="58"/>
        <v>814029</v>
      </c>
      <c r="BT24" s="3">
        <f aca="true" t="shared" si="62" ref="BT24:BT42">+F24+G24+Q23+R23+S23+U23+V23+W23+Z23+AA23+AB23+AC23+AG23+AI23+BS24</f>
        <v>4315216.14918044</v>
      </c>
      <c r="BU24" s="8"/>
      <c r="BV24" s="3">
        <f t="shared" si="59"/>
        <v>83955.71428571429</v>
      </c>
      <c r="BW24" s="36">
        <f t="shared" si="44"/>
        <v>436063.2857142857</v>
      </c>
      <c r="BX24" s="3">
        <f>562330</f>
        <v>562330</v>
      </c>
    </row>
    <row r="25" spans="1:76" ht="12.75">
      <c r="A25" s="28">
        <v>2004</v>
      </c>
      <c r="B25" s="3">
        <f t="shared" si="45"/>
        <v>13937553</v>
      </c>
      <c r="C25" s="3">
        <v>5300000</v>
      </c>
      <c r="D25" s="3">
        <f t="shared" si="28"/>
        <v>2591265.9</v>
      </c>
      <c r="E25" s="3">
        <f t="shared" si="29"/>
        <v>6046287.1</v>
      </c>
      <c r="F25" s="3">
        <f t="shared" si="46"/>
        <v>816248.7585</v>
      </c>
      <c r="G25" s="3"/>
      <c r="H25" s="3"/>
      <c r="I25" s="3">
        <f t="shared" si="30"/>
        <v>5230038.341499999</v>
      </c>
      <c r="J25" s="3">
        <f t="shared" si="31"/>
        <v>2092015.3365999998</v>
      </c>
      <c r="K25" s="3">
        <f t="shared" si="47"/>
        <v>3138023.0048999996</v>
      </c>
      <c r="L25" s="3">
        <f>SUM(J22:J24)*0.07</f>
        <v>444239.2860052</v>
      </c>
      <c r="M25" s="3">
        <f t="shared" si="60"/>
        <v>627604.60098</v>
      </c>
      <c r="N25" s="23"/>
      <c r="O25" s="3">
        <f>SUM(M25:N25)</f>
        <v>627604.60098</v>
      </c>
      <c r="P25" s="3">
        <f t="shared" si="48"/>
        <v>397113.22068599996</v>
      </c>
      <c r="Q25" s="23">
        <f>194300-134000</f>
        <v>60300</v>
      </c>
      <c r="R25" s="23">
        <f t="shared" si="32"/>
        <v>317690.5765488</v>
      </c>
      <c r="S25" s="23">
        <f t="shared" si="33"/>
        <v>79422.6441372</v>
      </c>
      <c r="T25" s="23">
        <f t="shared" si="49"/>
        <v>170191.380294</v>
      </c>
      <c r="U25" s="23">
        <f t="shared" si="50"/>
        <v>56730.460097999996</v>
      </c>
      <c r="V25" s="23">
        <f t="shared" si="51"/>
        <v>56730.460097999996</v>
      </c>
      <c r="W25" s="23">
        <f t="shared" si="61"/>
        <v>56730.460097999996</v>
      </c>
      <c r="X25" s="3">
        <f>+(I25*0.6*0.8)</f>
        <v>2510418.40392</v>
      </c>
      <c r="Y25" s="65"/>
      <c r="Z25" s="23">
        <f t="shared" si="52"/>
        <v>660973.7175288</v>
      </c>
      <c r="AA25" s="23">
        <f t="shared" si="53"/>
        <v>660973.7175288</v>
      </c>
      <c r="AB25" s="23">
        <f t="shared" si="54"/>
        <v>152532.3963528</v>
      </c>
      <c r="AC25" s="23">
        <f t="shared" si="55"/>
        <v>135584.3523136</v>
      </c>
      <c r="AD25" s="23">
        <f t="shared" si="56"/>
        <v>84740.22019600001</v>
      </c>
      <c r="AE25" s="3">
        <f t="shared" si="34"/>
        <v>660973.7175288</v>
      </c>
      <c r="AF25" s="3"/>
      <c r="AG25" s="3">
        <f t="shared" si="35"/>
        <v>33048.68587644</v>
      </c>
      <c r="AH25" s="78">
        <f t="shared" si="36"/>
        <v>815614</v>
      </c>
      <c r="AK25" s="3">
        <f t="shared" si="37"/>
        <v>0</v>
      </c>
      <c r="AL25" s="3">
        <f t="shared" si="38"/>
        <v>0</v>
      </c>
      <c r="AM25" s="3"/>
      <c r="AN25" s="3"/>
      <c r="AO25" s="3"/>
      <c r="AP25" s="3"/>
      <c r="AQ25" s="3"/>
      <c r="AR25" s="3"/>
      <c r="AT25" s="20"/>
      <c r="AU25" s="3"/>
      <c r="AV25"/>
      <c r="AW25" s="3">
        <f>+$AK25*0.33*0.5</f>
        <v>0</v>
      </c>
      <c r="AX25" s="3">
        <f>+$AK25*0.33*0.5</f>
        <v>0</v>
      </c>
      <c r="AY25" s="3">
        <f>+$AK25-SUM($AL25:AX25)</f>
        <v>0</v>
      </c>
      <c r="AZ25" s="3"/>
      <c r="BA25"/>
      <c r="BB25" s="31"/>
      <c r="BC25" s="31"/>
      <c r="BD25" s="31"/>
      <c r="BH25" s="3">
        <f t="shared" si="39"/>
        <v>0</v>
      </c>
      <c r="BI25" s="3">
        <f t="shared" si="40"/>
        <v>0</v>
      </c>
      <c r="BJ25" s="3">
        <f t="shared" si="41"/>
        <v>815614</v>
      </c>
      <c r="BK25" s="23">
        <v>294158</v>
      </c>
      <c r="BL25" s="3">
        <f t="shared" si="42"/>
        <v>521456</v>
      </c>
      <c r="BM25" s="3">
        <v>80656</v>
      </c>
      <c r="BN25" s="3">
        <f t="shared" si="43"/>
        <v>440800</v>
      </c>
      <c r="BO25" s="3">
        <v>306800</v>
      </c>
      <c r="BP25" s="3">
        <f>+BJ25-BK25-BM25-BO25</f>
        <v>134000</v>
      </c>
      <c r="BQ25" s="3">
        <v>134000</v>
      </c>
      <c r="BR25" s="3">
        <f t="shared" si="57"/>
        <v>0</v>
      </c>
      <c r="BS25" s="38">
        <f t="shared" si="58"/>
        <v>815614</v>
      </c>
      <c r="BT25" s="3">
        <f t="shared" si="62"/>
        <v>3886556.08658044</v>
      </c>
      <c r="BU25" s="8"/>
      <c r="BV25" s="3">
        <f t="shared" si="59"/>
        <v>84002.85714285714</v>
      </c>
      <c r="BW25" s="36">
        <f t="shared" si="44"/>
        <v>437453.14285714284</v>
      </c>
      <c r="BX25" s="3">
        <f>562570</f>
        <v>562570</v>
      </c>
    </row>
    <row r="26" spans="1:76" ht="12.75">
      <c r="A26" s="28">
        <v>2005</v>
      </c>
      <c r="B26" s="3">
        <f t="shared" si="45"/>
        <v>13937553</v>
      </c>
      <c r="C26" s="3">
        <v>5300000</v>
      </c>
      <c r="D26" s="3">
        <f t="shared" si="28"/>
        <v>2591265.9</v>
      </c>
      <c r="E26" s="3">
        <f t="shared" si="29"/>
        <v>6046287.1</v>
      </c>
      <c r="F26" s="3">
        <f t="shared" si="46"/>
        <v>816248.7585</v>
      </c>
      <c r="G26" s="3"/>
      <c r="H26" s="3"/>
      <c r="I26" s="3">
        <f t="shared" si="30"/>
        <v>5230038.341499999</v>
      </c>
      <c r="J26" s="3">
        <f t="shared" si="31"/>
        <v>2092015.3365999998</v>
      </c>
      <c r="K26" s="3">
        <f t="shared" si="47"/>
        <v>3138023.0048999996</v>
      </c>
      <c r="L26" s="3">
        <f>SUM(J22:J25)*0.07</f>
        <v>590680.3595672001</v>
      </c>
      <c r="M26" s="3">
        <f t="shared" si="60"/>
        <v>627604.60098</v>
      </c>
      <c r="N26" s="3"/>
      <c r="O26" s="3">
        <f aca="true" t="shared" si="63" ref="O26:O33">+M26</f>
        <v>627604.60098</v>
      </c>
      <c r="P26" s="3">
        <f t="shared" si="48"/>
        <v>399160.72068599996</v>
      </c>
      <c r="Q26" s="23">
        <f>191375-134000</f>
        <v>57375</v>
      </c>
      <c r="R26" s="23">
        <f t="shared" si="32"/>
        <v>319328.5765488</v>
      </c>
      <c r="S26" s="23">
        <f t="shared" si="33"/>
        <v>79832.1441372</v>
      </c>
      <c r="T26" s="23">
        <f t="shared" si="49"/>
        <v>171068.880294</v>
      </c>
      <c r="U26" s="23">
        <f t="shared" si="50"/>
        <v>57022.960097999996</v>
      </c>
      <c r="V26" s="23">
        <f t="shared" si="51"/>
        <v>57022.960097999996</v>
      </c>
      <c r="W26" s="23">
        <f t="shared" si="61"/>
        <v>57022.960097999996</v>
      </c>
      <c r="X26" s="3">
        <f>+(I26*0.6*0.8)</f>
        <v>2510418.40392</v>
      </c>
      <c r="Y26" s="65"/>
      <c r="Z26" s="23">
        <f t="shared" si="52"/>
        <v>781392.0675288</v>
      </c>
      <c r="AA26" s="23">
        <f t="shared" si="53"/>
        <v>781392.0675288</v>
      </c>
      <c r="AB26" s="23">
        <f t="shared" si="54"/>
        <v>180321.2463528</v>
      </c>
      <c r="AC26" s="23">
        <f t="shared" si="55"/>
        <v>160285.5523136</v>
      </c>
      <c r="AD26" s="23">
        <f t="shared" si="56"/>
        <v>100178.47019600001</v>
      </c>
      <c r="AE26" s="3">
        <f t="shared" si="34"/>
        <v>781392.0675288</v>
      </c>
      <c r="AF26" s="3"/>
      <c r="AG26" s="3">
        <f t="shared" si="35"/>
        <v>39069.60337644</v>
      </c>
      <c r="AH26" s="78">
        <f t="shared" si="36"/>
        <v>506849</v>
      </c>
      <c r="AK26" s="3">
        <f t="shared" si="37"/>
        <v>0</v>
      </c>
      <c r="AL26" s="3">
        <f t="shared" si="38"/>
        <v>0</v>
      </c>
      <c r="AM26" s="3"/>
      <c r="AN26" s="3"/>
      <c r="AO26" s="3"/>
      <c r="AP26" s="3"/>
      <c r="AQ26" s="3"/>
      <c r="AR26" s="3"/>
      <c r="AT26" s="20"/>
      <c r="AU26" s="3"/>
      <c r="AV26"/>
      <c r="AW26"/>
      <c r="AX26" s="3">
        <f>+$AK26*0.33*0.5</f>
        <v>0</v>
      </c>
      <c r="AY26" s="3">
        <f>+$AK26*0.33*0.5</f>
        <v>0</v>
      </c>
      <c r="AZ26" s="3">
        <f>+$AK26-SUM($AL26:AY26)</f>
        <v>0</v>
      </c>
      <c r="BA26"/>
      <c r="BB26" s="3"/>
      <c r="BC26"/>
      <c r="BD26" s="31"/>
      <c r="BH26" s="3">
        <f t="shared" si="39"/>
        <v>0</v>
      </c>
      <c r="BI26" s="3">
        <f t="shared" si="40"/>
        <v>0</v>
      </c>
      <c r="BJ26" s="3">
        <f t="shared" si="41"/>
        <v>506849</v>
      </c>
      <c r="BK26" s="23">
        <v>294499</v>
      </c>
      <c r="BL26" s="3">
        <f t="shared" si="42"/>
        <v>212350</v>
      </c>
      <c r="BM26" s="3">
        <v>78350</v>
      </c>
      <c r="BN26" s="3">
        <f t="shared" si="43"/>
        <v>134000</v>
      </c>
      <c r="BO26" s="3"/>
      <c r="BP26" s="3"/>
      <c r="BQ26" s="3">
        <v>134000</v>
      </c>
      <c r="BR26" s="3">
        <f t="shared" si="57"/>
        <v>0</v>
      </c>
      <c r="BS26" s="38">
        <f t="shared" si="58"/>
        <v>506849</v>
      </c>
      <c r="BT26" s="3">
        <f t="shared" si="62"/>
        <v>3593815.2290804395</v>
      </c>
      <c r="BU26" s="8"/>
      <c r="BV26" s="3">
        <f t="shared" si="59"/>
        <v>84045.14285714286</v>
      </c>
      <c r="BW26" s="36">
        <f t="shared" si="44"/>
        <v>128304.85714285714</v>
      </c>
      <c r="BX26" s="3">
        <f>563392</f>
        <v>563392</v>
      </c>
    </row>
    <row r="27" spans="1:76" ht="12.75">
      <c r="A27" s="28">
        <v>2006</v>
      </c>
      <c r="B27" s="3">
        <f t="shared" si="45"/>
        <v>13937553</v>
      </c>
      <c r="C27" s="3">
        <v>5300000</v>
      </c>
      <c r="D27" s="3">
        <f t="shared" si="28"/>
        <v>2591265.9</v>
      </c>
      <c r="E27" s="3">
        <f t="shared" si="29"/>
        <v>6046287.1</v>
      </c>
      <c r="F27" s="3">
        <f t="shared" si="46"/>
        <v>816248.7585</v>
      </c>
      <c r="G27" s="3"/>
      <c r="H27" s="3"/>
      <c r="I27" s="3">
        <f t="shared" si="30"/>
        <v>5230038.341499999</v>
      </c>
      <c r="J27" s="3">
        <f t="shared" si="31"/>
        <v>2092015.3365999998</v>
      </c>
      <c r="K27" s="3">
        <f t="shared" si="47"/>
        <v>3138023.0048999996</v>
      </c>
      <c r="L27" s="3">
        <f>SUM(J22:J26)*0.07</f>
        <v>737121.4331292</v>
      </c>
      <c r="M27" s="3">
        <f t="shared" si="60"/>
        <v>627604.60098</v>
      </c>
      <c r="N27" s="3"/>
      <c r="O27" s="3">
        <f t="shared" si="63"/>
        <v>627604.60098</v>
      </c>
      <c r="P27" s="3">
        <f t="shared" si="48"/>
        <v>397865.72068599996</v>
      </c>
      <c r="Q27" s="23">
        <f>193225-134000</f>
        <v>59225</v>
      </c>
      <c r="R27" s="23">
        <f t="shared" si="32"/>
        <v>318292.5765488</v>
      </c>
      <c r="S27" s="23">
        <f t="shared" si="33"/>
        <v>79573.1441372</v>
      </c>
      <c r="T27" s="23">
        <f t="shared" si="49"/>
        <v>170513.880294</v>
      </c>
      <c r="U27" s="23">
        <f t="shared" si="50"/>
        <v>56837.960097999996</v>
      </c>
      <c r="V27" s="23">
        <f t="shared" si="51"/>
        <v>56837.960097999996</v>
      </c>
      <c r="W27" s="23">
        <f>T27*$W$21+0.4</f>
        <v>56838.360098</v>
      </c>
      <c r="X27" s="3">
        <f aca="true" t="shared" si="64" ref="X27:X33">+(I27*0.6*0.8)</f>
        <v>2510418.40392</v>
      </c>
      <c r="Y27" s="65"/>
      <c r="Z27" s="23">
        <f t="shared" si="52"/>
        <v>780380.0175288001</v>
      </c>
      <c r="AA27" s="23">
        <f t="shared" si="53"/>
        <v>780380.0175288001</v>
      </c>
      <c r="AB27" s="23">
        <f t="shared" si="54"/>
        <v>180087.69635279998</v>
      </c>
      <c r="AC27" s="23">
        <f t="shared" si="55"/>
        <v>160077.9523136</v>
      </c>
      <c r="AD27" s="23">
        <f t="shared" si="56"/>
        <v>100048.72019600001</v>
      </c>
      <c r="AE27" s="3">
        <f t="shared" si="34"/>
        <v>780380.0175288001</v>
      </c>
      <c r="AF27" s="3"/>
      <c r="AG27" s="3">
        <f t="shared" si="35"/>
        <v>39019.000876440005</v>
      </c>
      <c r="AH27" s="78">
        <f t="shared" si="36"/>
        <v>509444</v>
      </c>
      <c r="AK27" s="3">
        <f t="shared" si="37"/>
        <v>0</v>
      </c>
      <c r="AL27" s="3">
        <f t="shared" si="38"/>
        <v>0</v>
      </c>
      <c r="AM27" s="3"/>
      <c r="AN27" s="3"/>
      <c r="AO27" s="3"/>
      <c r="AP27" s="3"/>
      <c r="AQ27" s="3"/>
      <c r="AR27" s="3"/>
      <c r="AT27" s="20"/>
      <c r="AU27" s="3"/>
      <c r="AV27"/>
      <c r="AW27"/>
      <c r="AX27"/>
      <c r="AY27" s="3">
        <f>+$AK27*0.33*0.5</f>
        <v>0</v>
      </c>
      <c r="AZ27" s="3">
        <f>+$AK27*0.33*0.5</f>
        <v>0</v>
      </c>
      <c r="BA27" s="3">
        <f>+$AK27-SUM($AL27:AZ27)</f>
        <v>0</v>
      </c>
      <c r="BB27" s="3"/>
      <c r="BC27" s="3"/>
      <c r="BD27" s="31"/>
      <c r="BH27" s="3">
        <f t="shared" si="39"/>
        <v>0</v>
      </c>
      <c r="BI27" s="3">
        <f t="shared" si="40"/>
        <v>0</v>
      </c>
      <c r="BJ27" s="3">
        <f t="shared" si="41"/>
        <v>509444</v>
      </c>
      <c r="BK27" s="23">
        <v>294556</v>
      </c>
      <c r="BL27" s="3">
        <f t="shared" si="42"/>
        <v>214888</v>
      </c>
      <c r="BM27" s="3">
        <v>80888</v>
      </c>
      <c r="BN27" s="3">
        <f t="shared" si="43"/>
        <v>134000</v>
      </c>
      <c r="BO27" s="3"/>
      <c r="BP27" s="3"/>
      <c r="BQ27" s="3">
        <v>134000</v>
      </c>
      <c r="BR27" s="3">
        <f t="shared" si="57"/>
        <v>0</v>
      </c>
      <c r="BS27" s="38">
        <f t="shared" si="58"/>
        <v>509444</v>
      </c>
      <c r="BT27" s="3">
        <f t="shared" si="62"/>
        <v>3895757.89658044</v>
      </c>
      <c r="BU27" s="8"/>
      <c r="BV27" s="3">
        <f t="shared" si="59"/>
        <v>84142.57142857143</v>
      </c>
      <c r="BW27" s="36">
        <f t="shared" si="44"/>
        <v>130745.42857142857</v>
      </c>
      <c r="BX27" s="3">
        <f>564642</f>
        <v>564642</v>
      </c>
    </row>
    <row r="28" spans="1:76" ht="12.75">
      <c r="A28" s="28">
        <v>2007</v>
      </c>
      <c r="B28" s="3">
        <f t="shared" si="45"/>
        <v>13937553</v>
      </c>
      <c r="C28" s="3">
        <v>5300000</v>
      </c>
      <c r="D28" s="3">
        <f t="shared" si="28"/>
        <v>2591265.9</v>
      </c>
      <c r="E28" s="3">
        <f t="shared" si="29"/>
        <v>6046287.1</v>
      </c>
      <c r="F28" s="3">
        <f t="shared" si="46"/>
        <v>816248.7585</v>
      </c>
      <c r="G28" s="3"/>
      <c r="H28" s="3"/>
      <c r="I28" s="3">
        <f t="shared" si="30"/>
        <v>5230038.341499999</v>
      </c>
      <c r="J28" s="3">
        <f t="shared" si="31"/>
        <v>2092015.3365999998</v>
      </c>
      <c r="K28" s="3">
        <f t="shared" si="47"/>
        <v>3138023.0048999996</v>
      </c>
      <c r="L28" s="3">
        <f>SUM(J22:J27)*0.07</f>
        <v>883562.5066912001</v>
      </c>
      <c r="M28" s="3">
        <f t="shared" si="60"/>
        <v>627604.60098</v>
      </c>
      <c r="N28" s="3"/>
      <c r="O28" s="3">
        <f t="shared" si="63"/>
        <v>627604.60098</v>
      </c>
      <c r="P28" s="3">
        <f t="shared" si="48"/>
        <v>396693.22068599996</v>
      </c>
      <c r="Q28" s="23">
        <f>194900-134000</f>
        <v>60900</v>
      </c>
      <c r="R28" s="23">
        <f t="shared" si="32"/>
        <v>317354.5765488</v>
      </c>
      <c r="S28" s="23">
        <f t="shared" si="33"/>
        <v>79338.6441372</v>
      </c>
      <c r="T28" s="23">
        <f t="shared" si="49"/>
        <v>170011.380294</v>
      </c>
      <c r="U28" s="23">
        <f t="shared" si="50"/>
        <v>56670.460097999996</v>
      </c>
      <c r="V28" s="23">
        <f t="shared" si="51"/>
        <v>56670.460097999996</v>
      </c>
      <c r="W28" s="23">
        <f>T28*$W$21-0.4</f>
        <v>56670.060097999994</v>
      </c>
      <c r="X28" s="3">
        <f t="shared" si="64"/>
        <v>2510418.40392</v>
      </c>
      <c r="Y28" s="65"/>
      <c r="Z28" s="23">
        <f t="shared" si="52"/>
        <v>781115.1675288</v>
      </c>
      <c r="AA28" s="23">
        <f t="shared" si="53"/>
        <v>781115.1675288</v>
      </c>
      <c r="AB28" s="23">
        <f t="shared" si="54"/>
        <v>180257.3463528</v>
      </c>
      <c r="AC28" s="23">
        <f t="shared" si="55"/>
        <v>160228.7523136</v>
      </c>
      <c r="AD28" s="23">
        <f t="shared" si="56"/>
        <v>100142.97019600001</v>
      </c>
      <c r="AE28" s="3">
        <f t="shared" si="34"/>
        <v>781115.1675288</v>
      </c>
      <c r="AF28" s="3"/>
      <c r="AG28" s="3">
        <f t="shared" si="35"/>
        <v>39055.75837644</v>
      </c>
      <c r="AH28" s="78">
        <f t="shared" si="36"/>
        <v>507559</v>
      </c>
      <c r="AK28" s="3">
        <f t="shared" si="37"/>
        <v>0</v>
      </c>
      <c r="AL28" s="3">
        <f t="shared" si="38"/>
        <v>0</v>
      </c>
      <c r="AM28" s="3"/>
      <c r="AN28" s="3"/>
      <c r="AO28" s="3"/>
      <c r="AP28" s="3"/>
      <c r="AQ28" s="3"/>
      <c r="AR28" s="3"/>
      <c r="AT28" s="20"/>
      <c r="AU28" s="31"/>
      <c r="AV28"/>
      <c r="AW28"/>
      <c r="AZ28" s="3">
        <f>+$AK28*0.33*0.5</f>
        <v>0</v>
      </c>
      <c r="BA28" s="3">
        <f>+$AK28*0.33*0.5</f>
        <v>0</v>
      </c>
      <c r="BB28" s="3">
        <f>+$AK28-SUM($AL28:BA28)</f>
        <v>0</v>
      </c>
      <c r="BC28"/>
      <c r="BD28" s="31"/>
      <c r="BH28" s="3">
        <f t="shared" si="39"/>
        <v>0</v>
      </c>
      <c r="BI28" s="3">
        <f t="shared" si="40"/>
        <v>0</v>
      </c>
      <c r="BJ28" s="3">
        <f t="shared" si="41"/>
        <v>507559</v>
      </c>
      <c r="BK28" s="23">
        <v>295318</v>
      </c>
      <c r="BL28" s="3">
        <f t="shared" si="42"/>
        <v>212241</v>
      </c>
      <c r="BM28" s="3">
        <v>78241</v>
      </c>
      <c r="BN28" s="3">
        <f t="shared" si="43"/>
        <v>134000</v>
      </c>
      <c r="BO28" s="3"/>
      <c r="BP28" s="3"/>
      <c r="BQ28" s="3">
        <v>134000</v>
      </c>
      <c r="BR28" s="3">
        <f t="shared" si="57"/>
        <v>0</v>
      </c>
      <c r="BS28" s="38">
        <f t="shared" si="58"/>
        <v>507559</v>
      </c>
      <c r="BT28" s="3">
        <f t="shared" si="62"/>
        <v>3891357.4440804403</v>
      </c>
      <c r="BU28" s="8"/>
      <c r="BV28" s="3">
        <f t="shared" si="59"/>
        <v>84158.85714285714</v>
      </c>
      <c r="BW28" s="36">
        <f t="shared" si="44"/>
        <v>128082.14285714286</v>
      </c>
      <c r="BX28" s="3">
        <f>565160</f>
        <v>565160</v>
      </c>
    </row>
    <row r="29" spans="1:76" ht="13.5" customHeight="1">
      <c r="A29" s="28">
        <v>2008</v>
      </c>
      <c r="B29" s="3">
        <f t="shared" si="45"/>
        <v>13937553</v>
      </c>
      <c r="C29" s="3">
        <v>5300000</v>
      </c>
      <c r="D29" s="3">
        <f t="shared" si="28"/>
        <v>2591265.9</v>
      </c>
      <c r="E29" s="3">
        <f t="shared" si="29"/>
        <v>6046287.1</v>
      </c>
      <c r="F29" s="3">
        <f t="shared" si="46"/>
        <v>816248.7585</v>
      </c>
      <c r="G29" s="3">
        <v>35000</v>
      </c>
      <c r="H29" s="3"/>
      <c r="I29" s="3">
        <f t="shared" si="30"/>
        <v>5195038.341499999</v>
      </c>
      <c r="J29" s="3">
        <f t="shared" si="31"/>
        <v>2078015.3365999998</v>
      </c>
      <c r="K29" s="3">
        <f t="shared" si="47"/>
        <v>3117023.0048999996</v>
      </c>
      <c r="L29" s="3">
        <f>SUM(J22:J28)*0.07</f>
        <v>1030003.5802532</v>
      </c>
      <c r="M29" s="3">
        <f t="shared" si="60"/>
        <v>623404.60098</v>
      </c>
      <c r="N29" s="3"/>
      <c r="O29" s="3">
        <f t="shared" si="63"/>
        <v>623404.60098</v>
      </c>
      <c r="P29" s="3">
        <f t="shared" si="48"/>
        <v>396378.22068599996</v>
      </c>
      <c r="Q29" s="23">
        <f>191150-134000</f>
        <v>57150</v>
      </c>
      <c r="R29" s="23">
        <f t="shared" si="32"/>
        <v>317102.5765488</v>
      </c>
      <c r="S29" s="23">
        <f t="shared" si="33"/>
        <v>79275.6441372</v>
      </c>
      <c r="T29" s="23">
        <f t="shared" si="49"/>
        <v>169876.380294</v>
      </c>
      <c r="U29" s="23">
        <f t="shared" si="50"/>
        <v>56625.460097999996</v>
      </c>
      <c r="V29" s="23">
        <f t="shared" si="51"/>
        <v>56625.460097999996</v>
      </c>
      <c r="W29" s="23">
        <f>T29*$W$21-0.5</f>
        <v>56624.960097999996</v>
      </c>
      <c r="X29" s="3">
        <f t="shared" si="64"/>
        <v>2493618.40392</v>
      </c>
      <c r="Y29" s="65"/>
      <c r="Z29" s="23">
        <f t="shared" si="52"/>
        <v>773576.8575288</v>
      </c>
      <c r="AA29" s="23">
        <f t="shared" si="53"/>
        <v>773576.8575288</v>
      </c>
      <c r="AB29" s="23">
        <f t="shared" si="54"/>
        <v>178517.73635279998</v>
      </c>
      <c r="AC29" s="23">
        <f t="shared" si="55"/>
        <v>158682.4323136</v>
      </c>
      <c r="AD29" s="23">
        <f t="shared" si="56"/>
        <v>99176.520196</v>
      </c>
      <c r="AE29" s="3">
        <f t="shared" si="34"/>
        <v>773576.8575288</v>
      </c>
      <c r="AF29" s="3"/>
      <c r="AG29" s="3">
        <f t="shared" si="35"/>
        <v>38678.84287644</v>
      </c>
      <c r="AH29" s="78">
        <f t="shared" si="36"/>
        <v>510088</v>
      </c>
      <c r="AK29" s="3">
        <f t="shared" si="37"/>
        <v>0</v>
      </c>
      <c r="AL29" s="3">
        <f t="shared" si="38"/>
        <v>0</v>
      </c>
      <c r="AM29" s="3"/>
      <c r="AN29" s="3"/>
      <c r="AO29" s="3"/>
      <c r="AP29" s="3"/>
      <c r="AQ29" s="3"/>
      <c r="AR29" s="3"/>
      <c r="AT29" s="20"/>
      <c r="AU29" s="3"/>
      <c r="AV29"/>
      <c r="AW29"/>
      <c r="AZ29"/>
      <c r="BA29" s="3">
        <f>+$AK29*0.33*0.5</f>
        <v>0</v>
      </c>
      <c r="BB29" s="3">
        <f>+$AK29*0.33*0.5</f>
        <v>0</v>
      </c>
      <c r="BC29" s="3">
        <f>+$AK29-SUM($AL29:BB29)</f>
        <v>0</v>
      </c>
      <c r="BD29" s="31"/>
      <c r="BH29" s="3">
        <f t="shared" si="39"/>
        <v>0</v>
      </c>
      <c r="BI29" s="3">
        <f t="shared" si="40"/>
        <v>0</v>
      </c>
      <c r="BJ29" s="3">
        <f t="shared" si="41"/>
        <v>510088</v>
      </c>
      <c r="BK29" s="23">
        <v>295688</v>
      </c>
      <c r="BL29" s="3">
        <f t="shared" si="42"/>
        <v>214400</v>
      </c>
      <c r="BM29" s="3">
        <v>80400</v>
      </c>
      <c r="BN29" s="3">
        <f t="shared" si="43"/>
        <v>134000</v>
      </c>
      <c r="BO29" s="3"/>
      <c r="BP29" s="3" t="s">
        <v>85</v>
      </c>
      <c r="BQ29" s="3">
        <v>134000</v>
      </c>
      <c r="BR29" s="3">
        <f t="shared" si="57"/>
        <v>0</v>
      </c>
      <c r="BS29" s="38">
        <f t="shared" si="58"/>
        <v>510088</v>
      </c>
      <c r="BT29" s="3">
        <f t="shared" si="62"/>
        <v>3930713.15158044</v>
      </c>
      <c r="BU29" s="8"/>
      <c r="BV29" s="3">
        <f t="shared" si="59"/>
        <v>84376.57142857143</v>
      </c>
      <c r="BW29" s="36">
        <f t="shared" si="44"/>
        <v>130023.42857142857</v>
      </c>
      <c r="BX29" s="3">
        <f>564840</f>
        <v>564840</v>
      </c>
    </row>
    <row r="30" spans="1:76" ht="13.5" customHeight="1">
      <c r="A30" s="28">
        <v>2009</v>
      </c>
      <c r="B30" s="3">
        <f t="shared" si="45"/>
        <v>13937553</v>
      </c>
      <c r="C30" s="3">
        <v>5300000</v>
      </c>
      <c r="D30" s="3">
        <f t="shared" si="28"/>
        <v>2591265.9</v>
      </c>
      <c r="E30" s="3">
        <f t="shared" si="29"/>
        <v>6046287.1</v>
      </c>
      <c r="F30" s="3">
        <f t="shared" si="46"/>
        <v>816248.7585</v>
      </c>
      <c r="G30" s="3"/>
      <c r="H30" s="3"/>
      <c r="I30" s="3">
        <f t="shared" si="30"/>
        <v>5230038.341499999</v>
      </c>
      <c r="J30" s="3">
        <f t="shared" si="31"/>
        <v>2092015.3365999998</v>
      </c>
      <c r="K30" s="3">
        <f t="shared" si="47"/>
        <v>3138023.0048999996</v>
      </c>
      <c r="L30" s="3">
        <f>SUM(J22:J29)*0.07</f>
        <v>1175464.6538151999</v>
      </c>
      <c r="M30" s="3">
        <f t="shared" si="60"/>
        <v>627604.60098</v>
      </c>
      <c r="N30" s="3"/>
      <c r="O30" s="3">
        <f t="shared" si="63"/>
        <v>627604.60098</v>
      </c>
      <c r="P30" s="3">
        <f t="shared" si="48"/>
        <v>395118.22068599996</v>
      </c>
      <c r="Q30" s="23">
        <f>197150-134000</f>
        <v>63150</v>
      </c>
      <c r="R30" s="23">
        <f t="shared" si="32"/>
        <v>316094.5765488</v>
      </c>
      <c r="S30" s="23">
        <f t="shared" si="33"/>
        <v>79023.6441372</v>
      </c>
      <c r="T30" s="23">
        <f t="shared" si="49"/>
        <v>169336.380294</v>
      </c>
      <c r="U30" s="23">
        <f t="shared" si="50"/>
        <v>56445.460097999996</v>
      </c>
      <c r="V30" s="23">
        <f t="shared" si="51"/>
        <v>56445.460097999996</v>
      </c>
      <c r="W30" s="23">
        <f t="shared" si="61"/>
        <v>56445.460097999996</v>
      </c>
      <c r="X30" s="3">
        <f t="shared" si="64"/>
        <v>2510418.40392</v>
      </c>
      <c r="Y30" s="65"/>
      <c r="Z30" s="23">
        <f t="shared" si="52"/>
        <v>781395.5775288</v>
      </c>
      <c r="AA30" s="23">
        <f t="shared" si="53"/>
        <v>781395.5775288</v>
      </c>
      <c r="AB30" s="23">
        <f t="shared" si="54"/>
        <v>180322.0563528</v>
      </c>
      <c r="AC30" s="23">
        <f t="shared" si="55"/>
        <v>160286.2723136</v>
      </c>
      <c r="AD30" s="23">
        <f t="shared" si="56"/>
        <v>100178.920196</v>
      </c>
      <c r="AE30" s="3">
        <f t="shared" si="34"/>
        <v>781395.5775288</v>
      </c>
      <c r="AF30" s="3"/>
      <c r="AG30" s="3">
        <f t="shared" si="35"/>
        <v>39069.77887644</v>
      </c>
      <c r="AH30" s="78">
        <f t="shared" si="36"/>
        <v>506840</v>
      </c>
      <c r="AK30" s="3">
        <f t="shared" si="37"/>
        <v>0</v>
      </c>
      <c r="AL30" s="3">
        <f t="shared" si="38"/>
        <v>0</v>
      </c>
      <c r="AM30" s="3"/>
      <c r="AN30" s="3"/>
      <c r="AO30" s="3"/>
      <c r="AP30" s="3"/>
      <c r="AQ30" s="3"/>
      <c r="AR30" s="3"/>
      <c r="AT30" s="20"/>
      <c r="AU30" s="3"/>
      <c r="AV30"/>
      <c r="AW30"/>
      <c r="AZ30" s="3"/>
      <c r="BA30" s="3"/>
      <c r="BB30" s="3">
        <f>+$AK30*0.33*0.5</f>
        <v>0</v>
      </c>
      <c r="BC30" s="3">
        <f>+$AK30*0.33*0.5</f>
        <v>0</v>
      </c>
      <c r="BD30" s="3">
        <f>+$AK30-SUM($AL30:BC30)</f>
        <v>0</v>
      </c>
      <c r="BE30"/>
      <c r="BH30" s="3">
        <f t="shared" si="39"/>
        <v>0</v>
      </c>
      <c r="BI30" s="3">
        <f t="shared" si="40"/>
        <v>0</v>
      </c>
      <c r="BJ30" s="3">
        <f t="shared" si="41"/>
        <v>506840</v>
      </c>
      <c r="BK30" s="23">
        <v>295290</v>
      </c>
      <c r="BL30" s="3">
        <f t="shared" si="42"/>
        <v>211550</v>
      </c>
      <c r="BM30" s="3">
        <v>77550</v>
      </c>
      <c r="BN30" s="3">
        <f t="shared" si="43"/>
        <v>134000</v>
      </c>
      <c r="BO30" s="3"/>
      <c r="BP30" s="3"/>
      <c r="BQ30" s="3">
        <v>134000</v>
      </c>
      <c r="BR30" s="3">
        <f t="shared" si="57"/>
        <v>0</v>
      </c>
      <c r="BS30" s="38">
        <f t="shared" si="58"/>
        <v>506840</v>
      </c>
      <c r="BT30" s="3">
        <f t="shared" si="62"/>
        <v>3869525.58608044</v>
      </c>
      <c r="BU30" s="8"/>
      <c r="BV30" s="3">
        <f t="shared" si="59"/>
        <v>84482.28571428571</v>
      </c>
      <c r="BW30" s="36">
        <f t="shared" si="44"/>
        <v>127067.71428571429</v>
      </c>
      <c r="BX30" s="3">
        <f>566020</f>
        <v>566020</v>
      </c>
    </row>
    <row r="31" spans="1:76" ht="13.5" customHeight="1">
      <c r="A31" s="28">
        <v>2010</v>
      </c>
      <c r="B31" s="3">
        <f t="shared" si="45"/>
        <v>13937553</v>
      </c>
      <c r="C31" s="3">
        <v>5300000</v>
      </c>
      <c r="D31" s="3">
        <f t="shared" si="28"/>
        <v>2591265.9</v>
      </c>
      <c r="E31" s="3">
        <f t="shared" si="29"/>
        <v>6046287.1</v>
      </c>
      <c r="F31" s="3">
        <f t="shared" si="46"/>
        <v>816248.7585</v>
      </c>
      <c r="G31" s="3"/>
      <c r="H31" s="3"/>
      <c r="I31" s="3">
        <f t="shared" si="30"/>
        <v>5230038.341499999</v>
      </c>
      <c r="J31" s="3">
        <f t="shared" si="31"/>
        <v>2092015.3365999998</v>
      </c>
      <c r="K31" s="3">
        <f t="shared" si="47"/>
        <v>3138023.0048999996</v>
      </c>
      <c r="L31" s="3">
        <f>SUM(J22:J30)*0.07</f>
        <v>1321905.7273771998</v>
      </c>
      <c r="M31" s="3">
        <f t="shared" si="60"/>
        <v>627604.60098</v>
      </c>
      <c r="N31" s="3"/>
      <c r="O31" s="3">
        <f t="shared" si="63"/>
        <v>627604.60098</v>
      </c>
      <c r="P31" s="3">
        <f t="shared" si="48"/>
        <v>394698.22068599996</v>
      </c>
      <c r="Q31" s="23">
        <f>197750-134000</f>
        <v>63750</v>
      </c>
      <c r="R31" s="23">
        <f t="shared" si="32"/>
        <v>315758.5765488</v>
      </c>
      <c r="S31" s="23">
        <f t="shared" si="33"/>
        <v>78939.6441372</v>
      </c>
      <c r="T31" s="23">
        <f t="shared" si="49"/>
        <v>169156.380294</v>
      </c>
      <c r="U31" s="23">
        <f t="shared" si="50"/>
        <v>56385.460097999996</v>
      </c>
      <c r="V31" s="23">
        <f t="shared" si="51"/>
        <v>56385.460097999996</v>
      </c>
      <c r="W31" s="23">
        <f>T31*$W$21+0.4</f>
        <v>56385.860098</v>
      </c>
      <c r="X31" s="3">
        <f t="shared" si="64"/>
        <v>2510418.40392</v>
      </c>
      <c r="Y31" s="65"/>
      <c r="Z31" s="23">
        <f t="shared" si="52"/>
        <v>780228.3075288</v>
      </c>
      <c r="AA31" s="23">
        <f t="shared" si="53"/>
        <v>780228.3075288</v>
      </c>
      <c r="AB31" s="23">
        <f t="shared" si="54"/>
        <v>180052.6863528</v>
      </c>
      <c r="AC31" s="23">
        <f t="shared" si="55"/>
        <v>160046.8323136</v>
      </c>
      <c r="AD31" s="23">
        <f t="shared" si="56"/>
        <v>100029.270196</v>
      </c>
      <c r="AE31" s="3">
        <f t="shared" si="34"/>
        <v>780228.3075288</v>
      </c>
      <c r="AF31" s="3"/>
      <c r="AG31" s="3">
        <f t="shared" si="35"/>
        <v>39011.41537644</v>
      </c>
      <c r="AH31" s="78">
        <f t="shared" si="36"/>
        <v>509833</v>
      </c>
      <c r="AK31" s="3">
        <f t="shared" si="37"/>
        <v>0</v>
      </c>
      <c r="AL31" s="3">
        <f t="shared" si="38"/>
        <v>0</v>
      </c>
      <c r="AM31" s="3"/>
      <c r="AN31" s="3"/>
      <c r="AO31" s="3"/>
      <c r="AP31" s="3"/>
      <c r="AQ31" s="3"/>
      <c r="AR31" s="3"/>
      <c r="AT31" s="20"/>
      <c r="AU31" s="3"/>
      <c r="AV31"/>
      <c r="AW31"/>
      <c r="AZ31" s="3"/>
      <c r="BA31" s="3"/>
      <c r="BB31"/>
      <c r="BC31" s="3">
        <f>+$AK31*0.33*0.5</f>
        <v>0</v>
      </c>
      <c r="BD31" s="3">
        <f>+$AK31*0.33*0.5</f>
        <v>0</v>
      </c>
      <c r="BE31" s="3">
        <f>+$AK31-SUM($AL31:BD31)</f>
        <v>0</v>
      </c>
      <c r="BH31" s="3">
        <f t="shared" si="39"/>
        <v>0</v>
      </c>
      <c r="BI31" s="3">
        <f t="shared" si="40"/>
        <v>0</v>
      </c>
      <c r="BJ31" s="3">
        <f t="shared" si="41"/>
        <v>509833</v>
      </c>
      <c r="BK31" s="23">
        <v>296095</v>
      </c>
      <c r="BL31" s="3">
        <f t="shared" si="42"/>
        <v>213738</v>
      </c>
      <c r="BM31" s="3">
        <v>79738</v>
      </c>
      <c r="BN31" s="3">
        <f t="shared" si="43"/>
        <v>134000</v>
      </c>
      <c r="BO31" s="3"/>
      <c r="BP31" s="3"/>
      <c r="BQ31" s="3">
        <v>134000</v>
      </c>
      <c r="BR31" s="3">
        <f t="shared" si="57"/>
        <v>0</v>
      </c>
      <c r="BS31" s="38">
        <f t="shared" si="58"/>
        <v>509833</v>
      </c>
      <c r="BT31" s="3">
        <f t="shared" si="62"/>
        <v>3896155.6220804397</v>
      </c>
      <c r="BU31" s="8"/>
      <c r="BV31" s="3">
        <f t="shared" si="59"/>
        <v>84368.57142857143</v>
      </c>
      <c r="BW31" s="36">
        <f t="shared" si="44"/>
        <v>129369.42857142857</v>
      </c>
      <c r="BX31" s="3">
        <f>567520</f>
        <v>567520</v>
      </c>
    </row>
    <row r="32" spans="1:76" ht="13.5" customHeight="1">
      <c r="A32" s="28">
        <v>2011</v>
      </c>
      <c r="B32" s="3">
        <f t="shared" si="45"/>
        <v>13937553</v>
      </c>
      <c r="C32" s="3">
        <v>5300000</v>
      </c>
      <c r="D32" s="3">
        <f t="shared" si="28"/>
        <v>2591265.9</v>
      </c>
      <c r="E32" s="3">
        <f t="shared" si="29"/>
        <v>6046287.1</v>
      </c>
      <c r="F32" s="3">
        <f t="shared" si="46"/>
        <v>816248.7585</v>
      </c>
      <c r="G32" s="3"/>
      <c r="H32" s="3"/>
      <c r="I32" s="3">
        <f t="shared" si="30"/>
        <v>5230038.341499999</v>
      </c>
      <c r="J32" s="3">
        <f t="shared" si="31"/>
        <v>2092015.3365999998</v>
      </c>
      <c r="K32" s="3">
        <f t="shared" si="47"/>
        <v>3138023.0048999996</v>
      </c>
      <c r="L32" s="3">
        <f>SUM(J22:J31)*0.07</f>
        <v>1468346.8009391997</v>
      </c>
      <c r="M32" s="3">
        <f t="shared" si="60"/>
        <v>627604.60098</v>
      </c>
      <c r="N32" s="3"/>
      <c r="O32" s="3">
        <f t="shared" si="63"/>
        <v>627604.60098</v>
      </c>
      <c r="P32" s="3">
        <f t="shared" si="48"/>
        <v>398018.838686</v>
      </c>
      <c r="Q32" s="23">
        <f>193006.26-134000</f>
        <v>59006.26000000001</v>
      </c>
      <c r="R32" s="23">
        <f t="shared" si="32"/>
        <v>318415.0709488</v>
      </c>
      <c r="S32" s="23">
        <f t="shared" si="33"/>
        <v>79603.7677372</v>
      </c>
      <c r="T32" s="23">
        <f t="shared" si="49"/>
        <v>170579.50229399998</v>
      </c>
      <c r="U32" s="23">
        <f t="shared" si="50"/>
        <v>56859.83409799999</v>
      </c>
      <c r="V32" s="23">
        <f t="shared" si="51"/>
        <v>56859.83409799999</v>
      </c>
      <c r="W32" s="23">
        <f>T32*$W$21+0.4</f>
        <v>56860.23409799999</v>
      </c>
      <c r="X32" s="3">
        <f t="shared" si="64"/>
        <v>2510418.40392</v>
      </c>
      <c r="Y32" s="65"/>
      <c r="Z32" s="23">
        <f t="shared" si="52"/>
        <v>779108.2275288</v>
      </c>
      <c r="AA32" s="23">
        <f t="shared" si="53"/>
        <v>779108.2275288</v>
      </c>
      <c r="AB32" s="23">
        <f t="shared" si="54"/>
        <v>179794.20635279999</v>
      </c>
      <c r="AC32" s="23">
        <f t="shared" si="55"/>
        <v>159817.0723136</v>
      </c>
      <c r="AD32" s="23">
        <f t="shared" si="56"/>
        <v>99885.670196</v>
      </c>
      <c r="AE32" s="3">
        <f t="shared" si="34"/>
        <v>779108.2275288</v>
      </c>
      <c r="AF32" s="3"/>
      <c r="AG32" s="3">
        <f t="shared" si="35"/>
        <v>38955.41137644</v>
      </c>
      <c r="AH32" s="78">
        <f t="shared" si="36"/>
        <v>512705</v>
      </c>
      <c r="AK32" s="3">
        <f t="shared" si="37"/>
        <v>0</v>
      </c>
      <c r="AL32" s="3">
        <f t="shared" si="38"/>
        <v>0</v>
      </c>
      <c r="AM32" s="3"/>
      <c r="AN32" s="3"/>
      <c r="AO32" s="3"/>
      <c r="AP32" s="3"/>
      <c r="AQ32" s="3"/>
      <c r="AR32" s="3"/>
      <c r="AT32" s="20"/>
      <c r="AU32" s="3"/>
      <c r="AV32"/>
      <c r="AW32"/>
      <c r="AZ32" s="3"/>
      <c r="BB32" s="3"/>
      <c r="BC32" s="3"/>
      <c r="BD32" s="3">
        <f>+$AK32*0.33*0.5</f>
        <v>0</v>
      </c>
      <c r="BE32" s="3">
        <f>+$AK32*0.33*0.5</f>
        <v>0</v>
      </c>
      <c r="BF32" s="3">
        <f>+$AK32-SUM($AL32:BE32)</f>
        <v>0</v>
      </c>
      <c r="BH32" s="3">
        <f t="shared" si="39"/>
        <v>0</v>
      </c>
      <c r="BI32" s="3">
        <f t="shared" si="40"/>
        <v>0</v>
      </c>
      <c r="BJ32" s="3">
        <f t="shared" si="41"/>
        <v>512705</v>
      </c>
      <c r="BK32" s="23">
        <v>297004</v>
      </c>
      <c r="BL32" s="3">
        <f t="shared" si="42"/>
        <v>215701</v>
      </c>
      <c r="BM32" s="3">
        <v>81701</v>
      </c>
      <c r="BN32" s="3">
        <f t="shared" si="43"/>
        <v>134000</v>
      </c>
      <c r="BO32" s="3"/>
      <c r="BP32" s="3"/>
      <c r="BQ32" s="3">
        <v>134000</v>
      </c>
      <c r="BR32" s="3">
        <f t="shared" si="57"/>
        <v>0</v>
      </c>
      <c r="BS32" s="38">
        <f t="shared" si="58"/>
        <v>512705</v>
      </c>
      <c r="BT32" s="3">
        <f t="shared" si="62"/>
        <v>3896126.30858044</v>
      </c>
      <c r="BU32" s="8"/>
      <c r="BV32" s="3">
        <f t="shared" si="59"/>
        <v>84598.57142857143</v>
      </c>
      <c r="BW32" s="36">
        <f t="shared" si="44"/>
        <v>131102.42857142858</v>
      </c>
      <c r="BX32" s="3">
        <f>569220</f>
        <v>569220</v>
      </c>
    </row>
    <row r="33" spans="1:76" ht="13.5" customHeight="1">
      <c r="A33" s="28">
        <v>2012</v>
      </c>
      <c r="B33" s="3">
        <f t="shared" si="45"/>
        <v>13937553</v>
      </c>
      <c r="C33" s="3">
        <v>5300000</v>
      </c>
      <c r="D33" s="3">
        <f t="shared" si="28"/>
        <v>2591265.9</v>
      </c>
      <c r="E33" s="3">
        <f t="shared" si="29"/>
        <v>6046287.1</v>
      </c>
      <c r="F33" s="3">
        <f t="shared" si="46"/>
        <v>816248.7585</v>
      </c>
      <c r="G33" s="3"/>
      <c r="H33" s="3"/>
      <c r="I33" s="3">
        <f t="shared" si="30"/>
        <v>5230038.341499999</v>
      </c>
      <c r="J33" s="3">
        <f t="shared" si="31"/>
        <v>2092015.3365999998</v>
      </c>
      <c r="K33" s="3">
        <f t="shared" si="47"/>
        <v>3138023.0048999996</v>
      </c>
      <c r="L33" s="3">
        <f>SUM(J22:J32)*0.07</f>
        <v>1614787.8745011997</v>
      </c>
      <c r="M33" s="3">
        <f t="shared" si="60"/>
        <v>627604.60098</v>
      </c>
      <c r="N33" s="3"/>
      <c r="O33" s="3">
        <f t="shared" si="63"/>
        <v>627604.60098</v>
      </c>
      <c r="P33" s="3">
        <f t="shared" si="48"/>
        <v>397839.47068599996</v>
      </c>
      <c r="Q33" s="23">
        <f>193262.5-134000</f>
        <v>59262.5</v>
      </c>
      <c r="R33" s="23">
        <f t="shared" si="32"/>
        <v>318271.5765488</v>
      </c>
      <c r="S33" s="23">
        <f t="shared" si="33"/>
        <v>79567.8941372</v>
      </c>
      <c r="T33" s="23">
        <f t="shared" si="49"/>
        <v>170502.630294</v>
      </c>
      <c r="U33" s="23">
        <f t="shared" si="50"/>
        <v>56834.210097999996</v>
      </c>
      <c r="V33" s="23">
        <f t="shared" si="51"/>
        <v>56834.210097999996</v>
      </c>
      <c r="W33" s="23">
        <f>T33*$W$21+0.4</f>
        <v>56834.610098</v>
      </c>
      <c r="X33" s="3">
        <f t="shared" si="64"/>
        <v>2510418.40392</v>
      </c>
      <c r="Y33" s="65"/>
      <c r="Z33" s="23">
        <f t="shared" si="52"/>
        <v>780075.8175288</v>
      </c>
      <c r="AA33" s="23">
        <f t="shared" si="53"/>
        <v>780075.8175288</v>
      </c>
      <c r="AB33" s="23">
        <f t="shared" si="54"/>
        <v>180017.4963528</v>
      </c>
      <c r="AC33" s="23">
        <f t="shared" si="55"/>
        <v>160015.5523136</v>
      </c>
      <c r="AD33" s="23">
        <f t="shared" si="56"/>
        <v>100009.72019600001</v>
      </c>
      <c r="AE33" s="3">
        <f t="shared" si="34"/>
        <v>780075.8175288</v>
      </c>
      <c r="AF33" s="3"/>
      <c r="AG33" s="3">
        <f t="shared" si="35"/>
        <v>39003.79087644</v>
      </c>
      <c r="AH33" s="78">
        <f t="shared" si="36"/>
        <v>510224</v>
      </c>
      <c r="AK33" s="3">
        <f t="shared" si="37"/>
        <v>0</v>
      </c>
      <c r="AL33" s="3">
        <f t="shared" si="38"/>
        <v>0</v>
      </c>
      <c r="AM33" s="3"/>
      <c r="AN33" s="3"/>
      <c r="AO33" s="3"/>
      <c r="AP33" s="3"/>
      <c r="AR33" s="3"/>
      <c r="AT33" s="20"/>
      <c r="AU33" s="3"/>
      <c r="AV33"/>
      <c r="AW33"/>
      <c r="AZ33" s="3"/>
      <c r="BB33" s="3"/>
      <c r="BC33" s="3"/>
      <c r="BD33"/>
      <c r="BE33" s="3">
        <f>+$AK33*0.33*0.5</f>
        <v>0</v>
      </c>
      <c r="BF33" s="3">
        <f>+$AK33*0.33*0.5</f>
        <v>0</v>
      </c>
      <c r="BG33" s="3">
        <f>+$AK33-SUM($AL33:BF33)</f>
        <v>0</v>
      </c>
      <c r="BH33" s="3">
        <f t="shared" si="39"/>
        <v>0</v>
      </c>
      <c r="BI33" s="3">
        <f t="shared" si="40"/>
        <v>0</v>
      </c>
      <c r="BJ33" s="3">
        <f t="shared" si="41"/>
        <v>510224</v>
      </c>
      <c r="BK33" s="23">
        <v>297673</v>
      </c>
      <c r="BL33" s="3">
        <f t="shared" si="42"/>
        <v>212551</v>
      </c>
      <c r="BM33" s="3">
        <v>78551</v>
      </c>
      <c r="BN33" s="3">
        <f t="shared" si="43"/>
        <v>134000</v>
      </c>
      <c r="BO33" s="3"/>
      <c r="BP33" s="3"/>
      <c r="BQ33" s="3">
        <v>134000</v>
      </c>
      <c r="BR33" s="3">
        <f t="shared" si="57"/>
        <v>0</v>
      </c>
      <c r="BS33" s="38">
        <f t="shared" si="58"/>
        <v>510224</v>
      </c>
      <c r="BT33" s="3">
        <f t="shared" si="62"/>
        <v>3890860.9045804404</v>
      </c>
      <c r="BU33" s="8"/>
      <c r="BV33" s="3">
        <f t="shared" si="59"/>
        <v>84858.28571428571</v>
      </c>
      <c r="BW33" s="36">
        <f t="shared" si="44"/>
        <v>127692.71428571429</v>
      </c>
      <c r="BX33"/>
    </row>
    <row r="34" spans="1:76" ht="13.5" customHeight="1">
      <c r="A34" s="28">
        <v>2013</v>
      </c>
      <c r="B34" s="3"/>
      <c r="C34" s="3"/>
      <c r="D34" s="3"/>
      <c r="E34" s="3"/>
      <c r="F34" s="3"/>
      <c r="G34" s="3"/>
      <c r="H34" s="3" t="s">
        <v>85</v>
      </c>
      <c r="I34" s="3"/>
      <c r="J34" s="3"/>
      <c r="K34" s="3"/>
      <c r="L34" s="3"/>
      <c r="M34" s="3"/>
      <c r="N34" s="3"/>
      <c r="O34" s="3"/>
      <c r="P34" s="3"/>
      <c r="Q34" s="23">
        <f>193312.5-134000</f>
        <v>59312.5</v>
      </c>
      <c r="R34" s="3"/>
      <c r="S34" s="3"/>
      <c r="T34" s="3"/>
      <c r="U34" s="3"/>
      <c r="V34" s="3"/>
      <c r="W34" s="3"/>
      <c r="X34" s="3"/>
      <c r="Y34" s="3"/>
      <c r="Z34" s="23"/>
      <c r="AA34" s="23"/>
      <c r="AB34" s="23"/>
      <c r="AC34" s="23"/>
      <c r="AD34" s="23"/>
      <c r="AE34" s="3"/>
      <c r="AF34" s="3"/>
      <c r="AH34" s="78">
        <f t="shared" si="36"/>
        <v>214288</v>
      </c>
      <c r="AK34" s="3"/>
      <c r="AL34" s="3"/>
      <c r="AM34" s="3"/>
      <c r="AN34" s="3"/>
      <c r="AO34" s="3"/>
      <c r="AP34" s="3"/>
      <c r="AR34" s="3"/>
      <c r="AT34" s="20"/>
      <c r="AU34" s="3"/>
      <c r="AV34"/>
      <c r="AW34"/>
      <c r="AZ34" s="3"/>
      <c r="BB34" s="3"/>
      <c r="BC34" s="3"/>
      <c r="BD34"/>
      <c r="BE34" s="3"/>
      <c r="BF34" s="3"/>
      <c r="BG34" s="3"/>
      <c r="BH34" s="3"/>
      <c r="BI34" s="3"/>
      <c r="BK34" s="3"/>
      <c r="BL34" s="3"/>
      <c r="BM34" s="3">
        <v>80288</v>
      </c>
      <c r="BN34" s="3">
        <f t="shared" si="43"/>
        <v>-80288</v>
      </c>
      <c r="BO34" s="3"/>
      <c r="BP34" s="3"/>
      <c r="BQ34" s="3">
        <v>134000</v>
      </c>
      <c r="BR34" s="3">
        <f t="shared" si="57"/>
        <v>-214288</v>
      </c>
      <c r="BS34" s="38">
        <f t="shared" si="58"/>
        <v>214288</v>
      </c>
      <c r="BT34" s="3">
        <f t="shared" si="62"/>
        <v>2781081.4755804404</v>
      </c>
      <c r="BU34" s="8"/>
      <c r="BW34" s="36"/>
      <c r="BX34"/>
    </row>
    <row r="35" spans="1:76" ht="13.5" customHeight="1">
      <c r="A35" s="28">
        <v>2014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3">
        <f>193000-134000</f>
        <v>59000</v>
      </c>
      <c r="R35" s="3"/>
      <c r="S35" s="3"/>
      <c r="T35" s="3"/>
      <c r="U35" s="3"/>
      <c r="V35" s="3"/>
      <c r="W35" s="3"/>
      <c r="X35" s="3"/>
      <c r="Y35" s="3"/>
      <c r="Z35" s="23"/>
      <c r="AA35" s="23"/>
      <c r="AB35" s="23"/>
      <c r="AC35" s="23"/>
      <c r="AD35" s="23"/>
      <c r="AE35" s="3"/>
      <c r="AF35" s="3"/>
      <c r="AH35" s="78">
        <f t="shared" si="36"/>
        <v>215800</v>
      </c>
      <c r="AK35" s="3"/>
      <c r="AL35" s="3"/>
      <c r="AM35" s="3"/>
      <c r="AN35" s="3"/>
      <c r="AO35" s="3"/>
      <c r="AP35" s="3"/>
      <c r="AR35" s="3"/>
      <c r="AT35" s="20"/>
      <c r="AU35" s="3"/>
      <c r="AV35"/>
      <c r="AW35"/>
      <c r="AZ35" s="3"/>
      <c r="BB35" s="3"/>
      <c r="BC35" s="3"/>
      <c r="BD35"/>
      <c r="BE35" s="3"/>
      <c r="BF35" s="3"/>
      <c r="BG35" s="3"/>
      <c r="BH35" s="3"/>
      <c r="BI35" s="3"/>
      <c r="BK35" s="3"/>
      <c r="BL35" s="3"/>
      <c r="BM35" s="3">
        <v>81800</v>
      </c>
      <c r="BN35" s="3">
        <f t="shared" si="43"/>
        <v>-81800</v>
      </c>
      <c r="BO35" s="3"/>
      <c r="BP35" s="3"/>
      <c r="BQ35" s="3">
        <v>134000</v>
      </c>
      <c r="BR35" s="3">
        <f t="shared" si="57"/>
        <v>-215800</v>
      </c>
      <c r="BS35" s="38">
        <f t="shared" si="58"/>
        <v>215800</v>
      </c>
      <c r="BT35" s="3">
        <f t="shared" si="62"/>
        <v>275112.5</v>
      </c>
      <c r="BU35" s="8"/>
      <c r="BW35" s="36"/>
      <c r="BX35"/>
    </row>
    <row r="36" spans="1:76" ht="13.5" customHeight="1">
      <c r="A36" s="28">
        <v>2015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3">
        <f>196500-134000</f>
        <v>62500</v>
      </c>
      <c r="R36" s="3"/>
      <c r="S36" s="3"/>
      <c r="T36" s="3"/>
      <c r="U36" s="3"/>
      <c r="V36" s="3"/>
      <c r="W36" s="3"/>
      <c r="X36" s="3"/>
      <c r="Y36" s="3"/>
      <c r="Z36" s="23"/>
      <c r="AA36" s="23"/>
      <c r="AB36" s="23"/>
      <c r="AC36" s="23"/>
      <c r="AD36" s="23"/>
      <c r="AE36" s="3"/>
      <c r="AF36" s="3"/>
      <c r="AH36" s="78">
        <f t="shared" si="36"/>
        <v>134000</v>
      </c>
      <c r="AK36" s="3"/>
      <c r="AL36" s="3"/>
      <c r="AM36" s="3"/>
      <c r="AN36" s="3"/>
      <c r="AO36" s="3"/>
      <c r="AP36" s="3"/>
      <c r="AR36" s="3"/>
      <c r="AT36" s="20"/>
      <c r="AU36" s="3"/>
      <c r="AV36"/>
      <c r="AW36"/>
      <c r="AZ36" s="3"/>
      <c r="BB36" s="3"/>
      <c r="BC36" s="3"/>
      <c r="BD36"/>
      <c r="BE36" s="3"/>
      <c r="BF36" s="3"/>
      <c r="BG36" s="3"/>
      <c r="BH36" s="3"/>
      <c r="BI36" s="3"/>
      <c r="BK36" s="3"/>
      <c r="BL36" s="3"/>
      <c r="BM36" s="3"/>
      <c r="BN36" s="3"/>
      <c r="BO36" s="3"/>
      <c r="BP36" s="3"/>
      <c r="BQ36" s="3">
        <v>134000</v>
      </c>
      <c r="BR36" s="3">
        <f t="shared" si="57"/>
        <v>-134000</v>
      </c>
      <c r="BS36" s="38">
        <f t="shared" si="58"/>
        <v>134000</v>
      </c>
      <c r="BT36" s="3">
        <f t="shared" si="62"/>
        <v>193000</v>
      </c>
      <c r="BU36" s="8"/>
      <c r="BW36" s="36"/>
      <c r="BX36"/>
    </row>
    <row r="37" spans="1:76" ht="13.5" customHeight="1">
      <c r="A37" s="28">
        <v>2016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3">
        <f>194500-134000</f>
        <v>60500</v>
      </c>
      <c r="R37" s="3"/>
      <c r="S37" s="3"/>
      <c r="T37" s="3"/>
      <c r="U37" s="3"/>
      <c r="V37" s="3"/>
      <c r="W37" s="3"/>
      <c r="X37" s="3"/>
      <c r="Y37" s="3"/>
      <c r="Z37" s="23"/>
      <c r="AA37" s="23"/>
      <c r="AB37" s="23"/>
      <c r="AC37" s="23"/>
      <c r="AD37" s="23"/>
      <c r="AE37" s="3"/>
      <c r="AF37" s="3"/>
      <c r="AH37" s="78">
        <f t="shared" si="36"/>
        <v>134000</v>
      </c>
      <c r="AK37" s="3"/>
      <c r="AL37" s="3"/>
      <c r="AM37" s="3"/>
      <c r="AN37" s="3"/>
      <c r="AO37" s="3"/>
      <c r="AP37" s="3"/>
      <c r="AR37" s="3"/>
      <c r="AT37" s="20"/>
      <c r="AU37" s="3"/>
      <c r="AV37"/>
      <c r="AW37"/>
      <c r="AZ37" s="3"/>
      <c r="BB37" s="3"/>
      <c r="BC37" s="3"/>
      <c r="BD37"/>
      <c r="BE37" s="3"/>
      <c r="BF37" s="3"/>
      <c r="BG37" s="3"/>
      <c r="BH37" s="3"/>
      <c r="BI37" s="3"/>
      <c r="BK37" s="3"/>
      <c r="BL37" s="3"/>
      <c r="BM37" s="3"/>
      <c r="BN37" s="3"/>
      <c r="BO37" s="3"/>
      <c r="BP37" s="3"/>
      <c r="BQ37" s="3">
        <v>134000</v>
      </c>
      <c r="BR37" s="3">
        <f t="shared" si="57"/>
        <v>-134000</v>
      </c>
      <c r="BS37" s="38">
        <f t="shared" si="58"/>
        <v>134000</v>
      </c>
      <c r="BT37" s="3">
        <f t="shared" si="62"/>
        <v>196500</v>
      </c>
      <c r="BU37" s="8"/>
      <c r="BW37" s="36"/>
      <c r="BX37"/>
    </row>
    <row r="38" spans="1:76" ht="13.5" customHeight="1">
      <c r="A38" s="28">
        <v>2017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3">
        <f>197250-134000</f>
        <v>63250</v>
      </c>
      <c r="R38" s="3"/>
      <c r="S38" s="3"/>
      <c r="T38" s="3"/>
      <c r="U38" s="3"/>
      <c r="V38" s="3"/>
      <c r="W38" s="3"/>
      <c r="X38" s="3"/>
      <c r="Y38" s="3"/>
      <c r="Z38" s="23"/>
      <c r="AA38" s="23"/>
      <c r="AB38" s="23"/>
      <c r="AC38" s="23"/>
      <c r="AD38" s="23"/>
      <c r="AE38" s="3"/>
      <c r="AF38" s="3"/>
      <c r="AH38" s="78">
        <f t="shared" si="36"/>
        <v>134000</v>
      </c>
      <c r="AK38" s="3"/>
      <c r="AL38" s="3"/>
      <c r="AM38" s="3"/>
      <c r="AN38" s="3"/>
      <c r="AO38" s="3"/>
      <c r="AP38" s="3"/>
      <c r="AR38" s="3"/>
      <c r="AT38" s="20"/>
      <c r="AU38" s="3"/>
      <c r="AV38"/>
      <c r="AW38"/>
      <c r="AZ38" s="3"/>
      <c r="BB38" s="3"/>
      <c r="BC38" s="3"/>
      <c r="BD38"/>
      <c r="BE38" s="3"/>
      <c r="BF38" s="3"/>
      <c r="BG38" s="3"/>
      <c r="BH38" s="3"/>
      <c r="BI38" s="3"/>
      <c r="BK38" s="3"/>
      <c r="BL38" s="3"/>
      <c r="BM38" s="3"/>
      <c r="BN38" s="3"/>
      <c r="BO38" s="3"/>
      <c r="BP38" s="3"/>
      <c r="BQ38" s="3">
        <v>134000</v>
      </c>
      <c r="BR38" s="3">
        <f t="shared" si="57"/>
        <v>-134000</v>
      </c>
      <c r="BS38" s="38">
        <f t="shared" si="58"/>
        <v>134000</v>
      </c>
      <c r="BT38" s="3">
        <f t="shared" si="62"/>
        <v>194500</v>
      </c>
      <c r="BU38" s="8"/>
      <c r="BW38" s="36"/>
      <c r="BX38"/>
    </row>
    <row r="39" spans="1:76" ht="13.5" customHeight="1">
      <c r="A39" s="28">
        <v>2018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3">
        <f>194500-134000</f>
        <v>60500</v>
      </c>
      <c r="R39" s="3"/>
      <c r="S39" s="3"/>
      <c r="T39" s="3"/>
      <c r="U39" s="3"/>
      <c r="V39" s="3"/>
      <c r="W39" s="3"/>
      <c r="X39" s="3"/>
      <c r="Y39" s="3"/>
      <c r="Z39" s="23"/>
      <c r="AA39" s="23"/>
      <c r="AB39" s="23"/>
      <c r="AC39" s="23"/>
      <c r="AD39" s="23"/>
      <c r="AE39" s="3"/>
      <c r="AF39" s="3"/>
      <c r="AH39" s="78">
        <f t="shared" si="36"/>
        <v>134000</v>
      </c>
      <c r="AK39" s="3"/>
      <c r="AL39" s="3"/>
      <c r="AM39" s="3"/>
      <c r="AN39" s="3"/>
      <c r="AO39" s="3"/>
      <c r="AP39" s="3"/>
      <c r="AR39" s="3"/>
      <c r="AT39" s="20"/>
      <c r="AU39" s="3"/>
      <c r="AV39"/>
      <c r="AW39"/>
      <c r="AZ39" s="3"/>
      <c r="BB39" s="3"/>
      <c r="BC39" s="3"/>
      <c r="BD39"/>
      <c r="BE39" s="3"/>
      <c r="BF39" s="3"/>
      <c r="BG39" s="3"/>
      <c r="BH39" s="3"/>
      <c r="BI39" s="3"/>
      <c r="BK39" s="3"/>
      <c r="BL39" s="3"/>
      <c r="BM39" s="3"/>
      <c r="BN39" s="3"/>
      <c r="BO39" s="3"/>
      <c r="BP39" s="3"/>
      <c r="BQ39" s="3">
        <v>134000</v>
      </c>
      <c r="BR39" s="3">
        <f t="shared" si="57"/>
        <v>-134000</v>
      </c>
      <c r="BS39" s="38">
        <f t="shared" si="58"/>
        <v>134000</v>
      </c>
      <c r="BT39" s="3">
        <f t="shared" si="62"/>
        <v>197250</v>
      </c>
      <c r="BU39" s="8"/>
      <c r="BW39" s="36"/>
      <c r="BX39"/>
    </row>
    <row r="40" spans="1:76" ht="13.5" customHeight="1">
      <c r="A40" s="28">
        <v>2019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3">
        <f>196500-134000</f>
        <v>62500</v>
      </c>
      <c r="R40" s="3"/>
      <c r="S40" s="3"/>
      <c r="T40" s="3"/>
      <c r="U40" s="3"/>
      <c r="V40" s="3"/>
      <c r="W40" s="3"/>
      <c r="X40" s="3"/>
      <c r="Y40" s="3"/>
      <c r="Z40" s="23"/>
      <c r="AA40" s="23"/>
      <c r="AB40" s="23"/>
      <c r="AC40" s="23"/>
      <c r="AD40" s="23"/>
      <c r="AE40" s="3"/>
      <c r="AF40" s="3"/>
      <c r="AH40" s="78">
        <f t="shared" si="36"/>
        <v>134000</v>
      </c>
      <c r="AK40" s="3"/>
      <c r="AL40" s="3"/>
      <c r="AM40" s="3"/>
      <c r="AN40" s="3"/>
      <c r="AO40" s="3"/>
      <c r="AP40" s="3"/>
      <c r="AR40" s="3"/>
      <c r="AT40" s="20"/>
      <c r="AU40" s="3"/>
      <c r="AV40"/>
      <c r="AW40"/>
      <c r="AZ40" s="3"/>
      <c r="BB40" s="3"/>
      <c r="BC40" s="3"/>
      <c r="BD40"/>
      <c r="BE40" s="3"/>
      <c r="BF40" s="3"/>
      <c r="BG40" s="3"/>
      <c r="BH40" s="3"/>
      <c r="BI40" s="3"/>
      <c r="BK40" s="3"/>
      <c r="BL40" s="3"/>
      <c r="BM40" s="3"/>
      <c r="BN40" s="3"/>
      <c r="BO40" s="3"/>
      <c r="BP40" s="3"/>
      <c r="BQ40" s="3">
        <v>134000</v>
      </c>
      <c r="BR40" s="3">
        <f t="shared" si="57"/>
        <v>-134000</v>
      </c>
      <c r="BS40" s="38">
        <f t="shared" si="58"/>
        <v>134000</v>
      </c>
      <c r="BT40" s="3">
        <f t="shared" si="62"/>
        <v>194500</v>
      </c>
      <c r="BU40" s="8"/>
      <c r="BW40" s="36"/>
      <c r="BX40"/>
    </row>
    <row r="41" spans="1:76" ht="13.5" customHeight="1">
      <c r="A41" s="28">
        <v>2020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3">
        <f>193000-134000</f>
        <v>59000</v>
      </c>
      <c r="R41" s="3"/>
      <c r="S41" s="3"/>
      <c r="T41" s="3"/>
      <c r="U41" s="3"/>
      <c r="V41" s="3"/>
      <c r="W41" s="3"/>
      <c r="X41" s="3"/>
      <c r="Y41" s="3"/>
      <c r="Z41" s="23"/>
      <c r="AA41" s="23"/>
      <c r="AB41" s="23"/>
      <c r="AC41" s="23"/>
      <c r="AD41" s="23"/>
      <c r="AE41" s="3"/>
      <c r="AF41" s="3"/>
      <c r="AH41" s="78">
        <f t="shared" si="36"/>
        <v>134000</v>
      </c>
      <c r="AK41" s="3"/>
      <c r="AL41" s="3"/>
      <c r="AM41" s="3"/>
      <c r="AN41" s="3"/>
      <c r="AO41" s="3"/>
      <c r="AP41" s="3"/>
      <c r="AR41" s="3"/>
      <c r="AT41" s="20"/>
      <c r="AU41" s="3"/>
      <c r="AV41"/>
      <c r="AW41"/>
      <c r="AZ41" s="3"/>
      <c r="BB41" s="3"/>
      <c r="BC41" s="3"/>
      <c r="BD41"/>
      <c r="BE41" s="3"/>
      <c r="BF41" s="3"/>
      <c r="BG41" s="3"/>
      <c r="BH41" s="3"/>
      <c r="BI41" s="3"/>
      <c r="BK41" s="3"/>
      <c r="BL41" s="3"/>
      <c r="BM41" s="3"/>
      <c r="BN41" s="3"/>
      <c r="BO41" s="3"/>
      <c r="BP41" s="3"/>
      <c r="BQ41" s="3">
        <v>134000</v>
      </c>
      <c r="BR41" s="3">
        <f t="shared" si="57"/>
        <v>-134000</v>
      </c>
      <c r="BS41" s="38">
        <f t="shared" si="58"/>
        <v>134000</v>
      </c>
      <c r="BT41" s="3">
        <f t="shared" si="62"/>
        <v>196500</v>
      </c>
      <c r="BU41" s="8"/>
      <c r="BW41" s="36"/>
      <c r="BX41"/>
    </row>
    <row r="42" spans="1:76" ht="13.5" customHeight="1">
      <c r="A42" s="28">
        <v>2021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3">
        <f>194250-134000</f>
        <v>60250</v>
      </c>
      <c r="R42" s="3"/>
      <c r="S42" s="3"/>
      <c r="T42" s="3"/>
      <c r="U42" s="3"/>
      <c r="V42" s="3"/>
      <c r="W42" s="3"/>
      <c r="X42" s="3"/>
      <c r="Y42" s="3"/>
      <c r="Z42" s="23"/>
      <c r="AA42" s="23"/>
      <c r="AB42" s="23"/>
      <c r="AC42" s="23"/>
      <c r="AD42" s="23"/>
      <c r="AE42" s="3"/>
      <c r="AF42" s="3"/>
      <c r="AH42" s="78">
        <f t="shared" si="36"/>
        <v>134000</v>
      </c>
      <c r="AK42" s="3"/>
      <c r="AL42" s="3"/>
      <c r="AM42" s="3"/>
      <c r="AN42" s="3"/>
      <c r="AO42" s="3"/>
      <c r="AP42" s="3"/>
      <c r="AR42" s="3"/>
      <c r="AT42" s="20"/>
      <c r="AU42" s="3"/>
      <c r="AV42"/>
      <c r="AW42"/>
      <c r="AZ42" s="3"/>
      <c r="BB42" s="3"/>
      <c r="BC42" s="3"/>
      <c r="BD42"/>
      <c r="BE42" s="3"/>
      <c r="BF42" s="3"/>
      <c r="BG42" s="3"/>
      <c r="BH42" s="3"/>
      <c r="BI42" s="3"/>
      <c r="BK42" s="3"/>
      <c r="BL42" s="3"/>
      <c r="BM42" s="3"/>
      <c r="BN42" s="3"/>
      <c r="BO42" s="3"/>
      <c r="BP42" s="3"/>
      <c r="BQ42" s="3">
        <v>134000</v>
      </c>
      <c r="BR42" s="3">
        <f t="shared" si="57"/>
        <v>-134000</v>
      </c>
      <c r="BS42" s="38">
        <f t="shared" si="58"/>
        <v>134000</v>
      </c>
      <c r="BT42" s="3">
        <f t="shared" si="62"/>
        <v>193000</v>
      </c>
      <c r="BU42" s="8"/>
      <c r="BW42" s="36"/>
      <c r="BX42"/>
    </row>
    <row r="43" spans="1:76" ht="13.5" customHeight="1">
      <c r="A43" s="82" t="s">
        <v>192</v>
      </c>
      <c r="B43" s="3">
        <f aca="true" t="shared" si="65" ref="B43:AG43">SUM(B22:B42)</f>
        <v>167250636</v>
      </c>
      <c r="C43" s="3">
        <f t="shared" si="65"/>
        <v>63600000</v>
      </c>
      <c r="D43" s="3">
        <f t="shared" si="65"/>
        <v>31095190.799999993</v>
      </c>
      <c r="E43" s="3">
        <f t="shared" si="65"/>
        <v>72555445.2</v>
      </c>
      <c r="F43" s="3">
        <f t="shared" si="65"/>
        <v>9589411.340600003</v>
      </c>
      <c r="G43" s="3">
        <f t="shared" si="65"/>
        <v>65000</v>
      </c>
      <c r="H43" s="3">
        <f t="shared" si="65"/>
        <v>0</v>
      </c>
      <c r="I43" s="3">
        <f t="shared" si="65"/>
        <v>62901033.85939999</v>
      </c>
      <c r="J43" s="3">
        <f t="shared" si="65"/>
        <v>25160413.54375999</v>
      </c>
      <c r="K43" s="3">
        <f t="shared" si="65"/>
        <v>37740620.31564</v>
      </c>
      <c r="L43" s="3">
        <f t="shared" si="65"/>
        <v>9716947.5736032</v>
      </c>
      <c r="M43" s="3">
        <f t="shared" si="65"/>
        <v>7548124.063127998</v>
      </c>
      <c r="N43" s="3">
        <f t="shared" si="65"/>
        <v>203731</v>
      </c>
      <c r="O43" s="3">
        <f t="shared" si="65"/>
        <v>7751855.063127998</v>
      </c>
      <c r="P43" s="3">
        <f t="shared" si="65"/>
        <v>4965976.346189599</v>
      </c>
      <c r="Q43" s="3">
        <f t="shared" si="65"/>
        <v>1204415.6400000001</v>
      </c>
      <c r="R43" s="3">
        <f t="shared" si="65"/>
        <v>3972781.076951679</v>
      </c>
      <c r="S43" s="3">
        <f t="shared" si="65"/>
        <v>993195.2692379197</v>
      </c>
      <c r="T43" s="3">
        <f t="shared" si="65"/>
        <v>2128275.5769384</v>
      </c>
      <c r="U43" s="3">
        <f t="shared" si="65"/>
        <v>709425.1923128</v>
      </c>
      <c r="V43" s="3">
        <f t="shared" si="65"/>
        <v>709425.1923128</v>
      </c>
      <c r="W43" s="3">
        <f t="shared" si="65"/>
        <v>709425.8923128</v>
      </c>
      <c r="X43" s="3">
        <f t="shared" si="65"/>
        <v>30192496.252511993</v>
      </c>
      <c r="Y43" s="3">
        <f t="shared" si="65"/>
        <v>783762</v>
      </c>
      <c r="Z43" s="3">
        <f t="shared" si="65"/>
        <v>9220328.618479678</v>
      </c>
      <c r="AA43" s="3">
        <f t="shared" si="65"/>
        <v>9220328.618479678</v>
      </c>
      <c r="AB43" s="3">
        <f t="shared" si="65"/>
        <v>2127768.1427260796</v>
      </c>
      <c r="AC43" s="3">
        <f t="shared" si="65"/>
        <v>1891349.4602009598</v>
      </c>
      <c r="AD43" s="3">
        <f t="shared" si="65"/>
        <v>1182093.4126256001</v>
      </c>
      <c r="AE43" s="3">
        <f t="shared" si="65"/>
        <v>9220328.618479678</v>
      </c>
      <c r="AF43" s="3">
        <f t="shared" si="65"/>
        <v>0</v>
      </c>
      <c r="AG43" s="3">
        <f t="shared" si="65"/>
        <v>461016.43092398404</v>
      </c>
      <c r="AH43" s="3">
        <f aca="true" t="shared" si="66" ref="AH43:BM43">SUM(AH22:AH42)</f>
        <v>8702478</v>
      </c>
      <c r="AI43" s="3">
        <f t="shared" si="66"/>
        <v>0</v>
      </c>
      <c r="AJ43" s="3">
        <f t="shared" si="66"/>
        <v>3500000</v>
      </c>
      <c r="AK43" s="3">
        <f t="shared" si="66"/>
        <v>0</v>
      </c>
      <c r="AL43" s="3">
        <f t="shared" si="66"/>
        <v>0</v>
      </c>
      <c r="AM43" s="3">
        <f t="shared" si="66"/>
        <v>0</v>
      </c>
      <c r="AN43" s="3">
        <f t="shared" si="66"/>
        <v>0</v>
      </c>
      <c r="AO43" s="3">
        <f t="shared" si="66"/>
        <v>0</v>
      </c>
      <c r="AP43" s="3">
        <f t="shared" si="66"/>
        <v>0</v>
      </c>
      <c r="AQ43" s="3">
        <f t="shared" si="66"/>
        <v>0</v>
      </c>
      <c r="AR43" s="3">
        <f t="shared" si="66"/>
        <v>0</v>
      </c>
      <c r="AS43" s="3">
        <f t="shared" si="66"/>
        <v>0</v>
      </c>
      <c r="AT43" s="3">
        <f t="shared" si="66"/>
        <v>0</v>
      </c>
      <c r="AU43" s="3">
        <f t="shared" si="66"/>
        <v>0</v>
      </c>
      <c r="AV43" s="3">
        <f t="shared" si="66"/>
        <v>0</v>
      </c>
      <c r="AW43" s="3">
        <f t="shared" si="66"/>
        <v>0</v>
      </c>
      <c r="AX43" s="3">
        <f t="shared" si="66"/>
        <v>0</v>
      </c>
      <c r="AY43" s="3">
        <f t="shared" si="66"/>
        <v>0</v>
      </c>
      <c r="AZ43" s="3">
        <f t="shared" si="66"/>
        <v>0</v>
      </c>
      <c r="BA43" s="3">
        <f t="shared" si="66"/>
        <v>0</v>
      </c>
      <c r="BB43" s="3">
        <f t="shared" si="66"/>
        <v>0</v>
      </c>
      <c r="BC43" s="3">
        <f t="shared" si="66"/>
        <v>0</v>
      </c>
      <c r="BD43" s="3">
        <f t="shared" si="66"/>
        <v>0</v>
      </c>
      <c r="BE43" s="3">
        <f t="shared" si="66"/>
        <v>0</v>
      </c>
      <c r="BF43" s="3">
        <f t="shared" si="66"/>
        <v>0</v>
      </c>
      <c r="BG43" s="3">
        <f t="shared" si="66"/>
        <v>0</v>
      </c>
      <c r="BH43" s="3">
        <f t="shared" si="66"/>
        <v>0</v>
      </c>
      <c r="BI43" s="3">
        <f t="shared" si="66"/>
        <v>0</v>
      </c>
      <c r="BJ43" s="3">
        <f t="shared" si="66"/>
        <v>7334390</v>
      </c>
      <c r="BK43" s="3">
        <f t="shared" si="66"/>
        <v>3541522</v>
      </c>
      <c r="BL43" s="3">
        <f t="shared" si="66"/>
        <v>3792868</v>
      </c>
      <c r="BM43" s="3">
        <f t="shared" si="66"/>
        <v>1112956</v>
      </c>
      <c r="BN43" s="3">
        <f aca="true" t="shared" si="67" ref="BN43:BT43">SUM(BN22:BN42)</f>
        <v>2679912</v>
      </c>
      <c r="BO43" s="3">
        <f t="shared" si="67"/>
        <v>1234000</v>
      </c>
      <c r="BP43" s="3">
        <f t="shared" si="67"/>
        <v>536000</v>
      </c>
      <c r="BQ43" s="3">
        <f t="shared" si="67"/>
        <v>2814000</v>
      </c>
      <c r="BR43" s="3">
        <f t="shared" si="67"/>
        <v>-1368088</v>
      </c>
      <c r="BS43" s="3">
        <f t="shared" si="67"/>
        <v>8702478</v>
      </c>
      <c r="BT43" s="3">
        <f t="shared" si="67"/>
        <v>51948719.69569118</v>
      </c>
      <c r="BU43"/>
      <c r="BV43" s="3">
        <f>SUM(BV22:BV33)</f>
        <v>1010634.8571428572</v>
      </c>
      <c r="BW43" s="36">
        <f>SUM(BW22:BW33)</f>
        <v>2782233.1428571427</v>
      </c>
      <c r="BX43" s="3">
        <f>SUM(BX22:BX33)</f>
        <v>6209478</v>
      </c>
    </row>
    <row r="44" spans="1:76" ht="13.5" customHeight="1">
      <c r="A44" s="2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K44" s="3"/>
      <c r="AL44" s="3"/>
      <c r="AM44" s="3"/>
      <c r="AN44" s="3"/>
      <c r="AO44" s="3"/>
      <c r="AP44" s="3"/>
      <c r="AR44" s="3"/>
      <c r="AT44" s="20"/>
      <c r="AU44" s="3"/>
      <c r="AV44"/>
      <c r="AW44"/>
      <c r="AZ44" s="3"/>
      <c r="BB44" s="3"/>
      <c r="BC44" s="3"/>
      <c r="BD44" s="31"/>
      <c r="BH44" s="3"/>
      <c r="BI44" s="3"/>
      <c r="BK44" s="3"/>
      <c r="BL44" s="3"/>
      <c r="BM44" s="3"/>
      <c r="BN44" s="3"/>
      <c r="BO44" s="3"/>
      <c r="BP44" s="3"/>
      <c r="BQ44" s="3"/>
      <c r="BR44" s="3"/>
      <c r="BS44" s="35"/>
      <c r="BU44"/>
      <c r="BW44" s="36"/>
      <c r="BX44" s="3"/>
    </row>
    <row r="45" spans="1:77" ht="13.5" customHeight="1">
      <c r="A45" s="82" t="s">
        <v>193</v>
      </c>
      <c r="B45" s="3">
        <f aca="true" t="shared" si="68" ref="B45:R45">+B43+B16</f>
        <v>257937223.41000003</v>
      </c>
      <c r="C45" s="3">
        <f t="shared" si="68"/>
        <v>111300000</v>
      </c>
      <c r="D45" s="3">
        <f t="shared" si="68"/>
        <v>41841837.652499996</v>
      </c>
      <c r="E45" s="3">
        <f t="shared" si="68"/>
        <v>104795385.7575</v>
      </c>
      <c r="F45" s="3">
        <f t="shared" si="68"/>
        <v>12402781.189160002</v>
      </c>
      <c r="G45" s="3">
        <f t="shared" si="68"/>
        <v>238000</v>
      </c>
      <c r="H45" s="3">
        <f t="shared" si="68"/>
        <v>0</v>
      </c>
      <c r="I45" s="3">
        <f t="shared" si="68"/>
        <v>92154604.56833999</v>
      </c>
      <c r="J45" s="3">
        <f t="shared" si="68"/>
        <v>25160413.54375999</v>
      </c>
      <c r="K45" s="3">
        <f t="shared" si="68"/>
        <v>37740620.31564</v>
      </c>
      <c r="L45" s="3">
        <f t="shared" si="68"/>
        <v>9716947.5736032</v>
      </c>
      <c r="M45" s="3">
        <f t="shared" si="68"/>
        <v>13398838.204915999</v>
      </c>
      <c r="N45" s="3">
        <f t="shared" si="68"/>
        <v>0</v>
      </c>
      <c r="O45" s="3">
        <f t="shared" si="68"/>
        <v>11704743.262379598</v>
      </c>
      <c r="P45" s="3">
        <f t="shared" si="68"/>
        <v>6660071.288725998</v>
      </c>
      <c r="Q45" s="3">
        <f t="shared" si="68"/>
        <v>1204415.6400000001</v>
      </c>
      <c r="R45" s="3">
        <f t="shared" si="68"/>
        <v>3972781.076951679</v>
      </c>
      <c r="S45" s="3"/>
      <c r="T45" s="3">
        <f>+T43+T16</f>
        <v>2805913.5539529603</v>
      </c>
      <c r="U45" s="3">
        <f>+U43+U16</f>
        <v>1725882.1578346398</v>
      </c>
      <c r="V45" s="3"/>
      <c r="W45" s="3"/>
      <c r="X45" s="3">
        <f aca="true" t="shared" si="69" ref="X45:AL45">+X43+X16</f>
        <v>53595352.819663994</v>
      </c>
      <c r="Y45" s="3">
        <f t="shared" si="69"/>
        <v>0</v>
      </c>
      <c r="Z45" s="3">
        <f t="shared" si="69"/>
        <v>25053694.81548608</v>
      </c>
      <c r="AA45" s="3">
        <f t="shared" si="69"/>
        <v>16006056.98862528</v>
      </c>
      <c r="AB45" s="3">
        <f t="shared" si="69"/>
        <v>4842059.49078432</v>
      </c>
      <c r="AC45" s="3">
        <f t="shared" si="69"/>
        <v>5962786.48228832</v>
      </c>
      <c r="AD45" s="3">
        <f t="shared" si="69"/>
        <v>1182093.4126256001</v>
      </c>
      <c r="AE45" s="3">
        <f t="shared" si="69"/>
        <v>25053694.81548608</v>
      </c>
      <c r="AF45" s="3">
        <f t="shared" si="69"/>
        <v>57095</v>
      </c>
      <c r="AG45" s="3">
        <f t="shared" si="69"/>
        <v>1249829.9907743041</v>
      </c>
      <c r="AH45" s="3">
        <f t="shared" si="69"/>
        <v>13238127.439382501</v>
      </c>
      <c r="AI45" s="3">
        <f t="shared" si="69"/>
        <v>2556730.4393825</v>
      </c>
      <c r="AJ45" s="3">
        <f t="shared" si="69"/>
        <v>11000000</v>
      </c>
      <c r="AK45" s="3">
        <f t="shared" si="69"/>
        <v>2556730.4393825</v>
      </c>
      <c r="AL45" s="3">
        <f t="shared" si="69"/>
        <v>843721.044996225</v>
      </c>
      <c r="AM45" s="3">
        <f aca="true" t="shared" si="70" ref="AM45:BG45">SUM(AM7:AM43)</f>
        <v>392698.24183725</v>
      </c>
      <c r="AN45" s="3">
        <f t="shared" si="70"/>
        <v>295510.1014436725</v>
      </c>
      <c r="AO45" s="3">
        <f t="shared" si="70"/>
        <v>385726.34389686247</v>
      </c>
      <c r="AP45" s="3">
        <f t="shared" si="70"/>
        <v>352907.57975025</v>
      </c>
      <c r="AQ45" s="3">
        <f t="shared" si="70"/>
        <v>286167.1274582399</v>
      </c>
      <c r="AR45" s="3">
        <f t="shared" si="70"/>
        <v>0</v>
      </c>
      <c r="AS45" s="3">
        <f t="shared" si="70"/>
        <v>0</v>
      </c>
      <c r="AT45" s="3">
        <f t="shared" si="70"/>
        <v>0</v>
      </c>
      <c r="AU45" s="3">
        <f t="shared" si="70"/>
        <v>0</v>
      </c>
      <c r="AV45" s="3">
        <f t="shared" si="70"/>
        <v>0</v>
      </c>
      <c r="AW45" s="3">
        <f t="shared" si="70"/>
        <v>0</v>
      </c>
      <c r="AX45" s="3">
        <f t="shared" si="70"/>
        <v>0</v>
      </c>
      <c r="AY45" s="3">
        <f t="shared" si="70"/>
        <v>0</v>
      </c>
      <c r="AZ45" s="3">
        <f t="shared" si="70"/>
        <v>0</v>
      </c>
      <c r="BA45" s="3">
        <f t="shared" si="70"/>
        <v>0</v>
      </c>
      <c r="BB45" s="3">
        <f t="shared" si="70"/>
        <v>0</v>
      </c>
      <c r="BC45" s="3">
        <f t="shared" si="70"/>
        <v>0</v>
      </c>
      <c r="BD45" s="3">
        <f t="shared" si="70"/>
        <v>0</v>
      </c>
      <c r="BE45" s="3">
        <f t="shared" si="70"/>
        <v>0</v>
      </c>
      <c r="BF45" s="3">
        <f t="shared" si="70"/>
        <v>0</v>
      </c>
      <c r="BG45" s="3">
        <f t="shared" si="70"/>
        <v>0</v>
      </c>
      <c r="BH45" s="3">
        <f>+BH43+BH16</f>
        <v>2556730.4393825</v>
      </c>
      <c r="BI45" s="3"/>
      <c r="BJ45" s="3">
        <f aca="true" t="shared" si="71" ref="BJ45:BT45">+BJ43+BJ16</f>
        <v>11870039.439382501</v>
      </c>
      <c r="BK45" s="3">
        <f t="shared" si="71"/>
        <v>5952917</v>
      </c>
      <c r="BL45" s="3">
        <f t="shared" si="71"/>
        <v>5917122.4393825</v>
      </c>
      <c r="BM45" s="3">
        <f t="shared" si="71"/>
        <v>1620121</v>
      </c>
      <c r="BN45" s="3">
        <f t="shared" si="71"/>
        <v>4297001.4393825</v>
      </c>
      <c r="BO45" s="3">
        <f t="shared" si="71"/>
        <v>1698834</v>
      </c>
      <c r="BP45" s="3">
        <f t="shared" si="71"/>
        <v>536000</v>
      </c>
      <c r="BQ45" s="3">
        <f t="shared" si="71"/>
        <v>2814000</v>
      </c>
      <c r="BR45" s="3">
        <f t="shared" si="71"/>
        <v>-1368088</v>
      </c>
      <c r="BS45" s="35">
        <f t="shared" si="71"/>
        <v>12085872</v>
      </c>
      <c r="BT45" s="3">
        <f t="shared" si="71"/>
        <v>71721213.2342648</v>
      </c>
      <c r="BU45" s="3">
        <f>BT45-(E45-J45+L45)</f>
        <v>-17630706.553078398</v>
      </c>
      <c r="BV45" s="3">
        <f>+BV43+BV16</f>
        <v>1615784</v>
      </c>
      <c r="BW45" s="36">
        <f>+BW43+BW16</f>
        <v>4301338.4393825</v>
      </c>
      <c r="BX45" s="3">
        <f>+BX43+BX16</f>
        <v>11226834</v>
      </c>
      <c r="BY45" s="79">
        <f>+BX45/6.5/19</f>
        <v>90905.53846153845</v>
      </c>
    </row>
    <row r="46" spans="1:76" ht="13.5" customHeight="1">
      <c r="A46"/>
      <c r="B46" s="3"/>
      <c r="C46" s="3"/>
      <c r="D46" s="3"/>
      <c r="E46" s="3"/>
      <c r="F46" s="3"/>
      <c r="G46" s="3"/>
      <c r="H4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K46" s="3"/>
      <c r="BL46" s="3"/>
      <c r="BM46" s="3"/>
      <c r="BS46" s="35"/>
      <c r="BU46" s="76" t="s">
        <v>92</v>
      </c>
      <c r="BX46"/>
    </row>
    <row r="47" spans="1:73" ht="15.75" customHeight="1">
      <c r="A47"/>
      <c r="B47" s="40" t="s">
        <v>91</v>
      </c>
      <c r="C47" s="3"/>
      <c r="D47" s="3"/>
      <c r="E47" s="3"/>
      <c r="F47" s="3"/>
      <c r="G47" s="3"/>
      <c r="H47" s="3"/>
      <c r="I47" s="3"/>
      <c r="J47" s="3"/>
      <c r="K47" s="20" t="s">
        <v>179</v>
      </c>
      <c r="N47" s="3"/>
      <c r="O47" s="3"/>
      <c r="P47" s="3"/>
      <c r="Q47" s="3"/>
      <c r="R47" s="81" t="s">
        <v>91</v>
      </c>
      <c r="S47" s="3"/>
      <c r="T47" s="3"/>
      <c r="U47" s="3"/>
      <c r="V47" s="3"/>
      <c r="W47" s="3"/>
      <c r="X47" s="40" t="s">
        <v>91</v>
      </c>
      <c r="Y47" s="3"/>
      <c r="Z47" s="3"/>
      <c r="AA47" s="3"/>
      <c r="AB47" s="3"/>
      <c r="AC47" s="3"/>
      <c r="AD47" s="80" t="s">
        <v>91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40" t="s">
        <v>91</v>
      </c>
      <c r="BK47" s="3"/>
      <c r="BL47" s="3"/>
      <c r="BM47" s="3"/>
      <c r="BS47" s="35"/>
      <c r="BT47" s="41"/>
      <c r="BU47" s="31" t="s">
        <v>98</v>
      </c>
    </row>
    <row r="48" spans="1:76" ht="13.5" customHeight="1">
      <c r="A48"/>
      <c r="B48" s="20" t="s">
        <v>93</v>
      </c>
      <c r="C48" s="3"/>
      <c r="D48" s="3"/>
      <c r="E48" s="3"/>
      <c r="F48" s="42"/>
      <c r="G48" s="3"/>
      <c r="H48" s="3"/>
      <c r="I48" s="3"/>
      <c r="J48" s="3"/>
      <c r="K48" s="43" t="s">
        <v>180</v>
      </c>
      <c r="O48" s="3"/>
      <c r="P48" s="3"/>
      <c r="Q48" s="3"/>
      <c r="R48" s="3" t="s">
        <v>186</v>
      </c>
      <c r="S48" s="3"/>
      <c r="T48" s="3"/>
      <c r="U48" s="3"/>
      <c r="V48" s="3"/>
      <c r="W48" s="3"/>
      <c r="X48" s="64" t="s">
        <v>130</v>
      </c>
      <c r="Y48" s="3"/>
      <c r="Z48" s="3"/>
      <c r="AA48" s="3"/>
      <c r="AB48" s="3"/>
      <c r="AC48" s="3"/>
      <c r="AD48" s="20" t="s">
        <v>187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t="s">
        <v>94</v>
      </c>
      <c r="BK48" s="3"/>
      <c r="BL48" s="3"/>
      <c r="BM48"/>
      <c r="BS48" s="35"/>
      <c r="BV48" s="3" t="s">
        <v>95</v>
      </c>
      <c r="BX48" s="37">
        <f>3500000/6500000</f>
        <v>0.5384615384615384</v>
      </c>
    </row>
    <row r="49" spans="1:71" ht="13.5" customHeight="1">
      <c r="A49"/>
      <c r="B49" s="20" t="s">
        <v>96</v>
      </c>
      <c r="C49" s="3"/>
      <c r="D49" s="3"/>
      <c r="E49" s="3"/>
      <c r="F49" s="3"/>
      <c r="G49" s="3"/>
      <c r="H49" s="3"/>
      <c r="I49" s="3"/>
      <c r="J49" s="3"/>
      <c r="K49" s="43" t="s">
        <v>181</v>
      </c>
      <c r="N49" s="43"/>
      <c r="O49" s="3"/>
      <c r="P49" s="3"/>
      <c r="Q49" s="3"/>
      <c r="R49" s="3"/>
      <c r="S49" s="3"/>
      <c r="T49" s="3"/>
      <c r="U49" s="3"/>
      <c r="V49" s="3"/>
      <c r="W49" s="3"/>
      <c r="X49" s="64" t="s">
        <v>131</v>
      </c>
      <c r="Y49" s="3"/>
      <c r="Z49" s="3"/>
      <c r="AA49" s="3"/>
      <c r="AB49" s="3"/>
      <c r="AC49" s="3"/>
      <c r="AD49" s="20" t="s">
        <v>189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3" t="s">
        <v>97</v>
      </c>
      <c r="BK49" s="3"/>
      <c r="BL49" s="3"/>
      <c r="BM49" s="3"/>
      <c r="BS49" s="35"/>
    </row>
    <row r="50" spans="1:71" ht="13.5" customHeight="1">
      <c r="A50"/>
      <c r="B50" s="20" t="s">
        <v>126</v>
      </c>
      <c r="C50" s="3"/>
      <c r="D50" s="3"/>
      <c r="E50" s="3"/>
      <c r="F50" s="3"/>
      <c r="G50" s="3"/>
      <c r="H50" s="3"/>
      <c r="I50" s="3"/>
      <c r="J50" s="3"/>
      <c r="K50" s="43" t="s">
        <v>182</v>
      </c>
      <c r="N50" s="43"/>
      <c r="O50" s="3"/>
      <c r="P50" s="3"/>
      <c r="Q50" s="3"/>
      <c r="R50" s="3"/>
      <c r="S50" s="3"/>
      <c r="T50" s="3"/>
      <c r="U50" s="3"/>
      <c r="V50" s="3"/>
      <c r="W50" s="3"/>
      <c r="X50" s="64" t="s">
        <v>132</v>
      </c>
      <c r="Y50" s="3"/>
      <c r="Z50" s="3"/>
      <c r="AA50" s="3"/>
      <c r="AB50" s="3"/>
      <c r="AC50" s="3"/>
      <c r="AD50" s="20" t="s">
        <v>190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3" t="s">
        <v>99</v>
      </c>
      <c r="BK50" s="3"/>
      <c r="BL50" s="3"/>
      <c r="BM50" s="3"/>
      <c r="BS50" s="35"/>
    </row>
    <row r="51" spans="1:71" ht="13.5" customHeight="1">
      <c r="A51"/>
      <c r="B51" s="20" t="s">
        <v>100</v>
      </c>
      <c r="C51" s="3"/>
      <c r="D51" s="3"/>
      <c r="E51" s="3"/>
      <c r="F51" s="3"/>
      <c r="G51" s="3"/>
      <c r="H51" s="3"/>
      <c r="I51" s="3"/>
      <c r="J51" s="3"/>
      <c r="K51" s="23" t="s">
        <v>176</v>
      </c>
      <c r="N51" s="43"/>
      <c r="O51" s="3"/>
      <c r="P51" s="3"/>
      <c r="Q51" s="3"/>
      <c r="R51" s="3"/>
      <c r="S51" s="3"/>
      <c r="T51" s="3"/>
      <c r="U51" s="3"/>
      <c r="V51" s="3"/>
      <c r="W51" s="3"/>
      <c r="Y51" s="44" t="s">
        <v>14</v>
      </c>
      <c r="Z51" s="9" t="s">
        <v>101</v>
      </c>
      <c r="AA51" s="9" t="s">
        <v>62</v>
      </c>
      <c r="AB51" s="3" t="s">
        <v>140</v>
      </c>
      <c r="AC51" s="3"/>
      <c r="AD51" s="20" t="s">
        <v>185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45" t="s">
        <v>118</v>
      </c>
      <c r="BK51" s="3"/>
      <c r="BL51" s="3"/>
      <c r="BM51" s="3"/>
      <c r="BS51" s="35"/>
    </row>
    <row r="52" spans="1:71" ht="13.5" customHeight="1">
      <c r="A52"/>
      <c r="B52" s="20" t="s">
        <v>102</v>
      </c>
      <c r="C52" s="3"/>
      <c r="D52" s="3"/>
      <c r="E52" s="3"/>
      <c r="F52" s="3"/>
      <c r="G52" s="3"/>
      <c r="H52" s="3"/>
      <c r="I52" s="3"/>
      <c r="J52" s="3"/>
      <c r="K52" s="23" t="s">
        <v>183</v>
      </c>
      <c r="N52" s="23"/>
      <c r="O52" s="3"/>
      <c r="P52" s="3"/>
      <c r="Q52" s="3"/>
      <c r="R52" s="3"/>
      <c r="S52" s="3"/>
      <c r="T52" s="3"/>
      <c r="U52" s="3"/>
      <c r="V52" s="3"/>
      <c r="W52" s="3"/>
      <c r="X52" s="44">
        <v>1999</v>
      </c>
      <c r="Y52" s="46">
        <v>254601</v>
      </c>
      <c r="Z52" s="46">
        <v>66512</v>
      </c>
      <c r="AA52" s="46">
        <f aca="true" t="shared" si="72" ref="AA52:AA57">SUM(Y52:Z52)</f>
        <v>321113</v>
      </c>
      <c r="AB52" s="3">
        <f>AA52</f>
        <v>321113</v>
      </c>
      <c r="AC52" s="3"/>
      <c r="AD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45" t="s">
        <v>119</v>
      </c>
      <c r="BK52" s="3"/>
      <c r="BL52" s="3"/>
      <c r="BM52" s="3"/>
      <c r="BS52" s="35"/>
    </row>
    <row r="53" spans="1:71" ht="13.5" customHeight="1">
      <c r="A53"/>
      <c r="B53" s="20" t="s">
        <v>103</v>
      </c>
      <c r="C53" s="3"/>
      <c r="D53" s="3"/>
      <c r="E53" s="3"/>
      <c r="F53" s="3"/>
      <c r="G53" s="3"/>
      <c r="H53" s="3"/>
      <c r="I53" s="3"/>
      <c r="J53" s="3"/>
      <c r="K53" s="23" t="s">
        <v>129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44">
        <v>2000</v>
      </c>
      <c r="Y53" s="46">
        <v>529161</v>
      </c>
      <c r="Z53" s="46">
        <v>137219</v>
      </c>
      <c r="AA53" s="46">
        <f t="shared" si="72"/>
        <v>666380</v>
      </c>
      <c r="AB53" s="3">
        <f>AB52+AA53</f>
        <v>987493</v>
      </c>
      <c r="AC53" s="3"/>
      <c r="AD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45" t="s">
        <v>120</v>
      </c>
      <c r="BK53" s="3"/>
      <c r="BL53" s="3"/>
      <c r="BM53" s="3"/>
      <c r="BS53" s="35"/>
    </row>
    <row r="54" spans="1:71" ht="13.5" customHeight="1">
      <c r="A54"/>
      <c r="B54" s="20" t="s">
        <v>104</v>
      </c>
      <c r="C54" s="3"/>
      <c r="D54" s="3"/>
      <c r="E54" s="3"/>
      <c r="F54" s="3"/>
      <c r="G54" s="3"/>
      <c r="H54" s="3"/>
      <c r="I54" s="3"/>
      <c r="J54" s="3"/>
      <c r="K54" s="74" t="s">
        <v>184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44" t="s">
        <v>139</v>
      </c>
      <c r="Y54" s="46">
        <v>788399</v>
      </c>
      <c r="Z54" s="46">
        <v>199420</v>
      </c>
      <c r="AA54" s="46">
        <f t="shared" si="72"/>
        <v>987819</v>
      </c>
      <c r="AB54" s="3">
        <f>AB53+AA54</f>
        <v>1975312</v>
      </c>
      <c r="AC54" s="64" t="s">
        <v>133</v>
      </c>
      <c r="AD54" s="6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45" t="s">
        <v>194</v>
      </c>
      <c r="BK54" s="3"/>
      <c r="BL54" s="3"/>
      <c r="BM54" s="3"/>
      <c r="BS54" s="35"/>
    </row>
    <row r="55" spans="1:71" ht="13.5" customHeight="1">
      <c r="A55"/>
      <c r="B55" s="20" t="s">
        <v>105</v>
      </c>
      <c r="C55" s="3"/>
      <c r="D55" s="3"/>
      <c r="E55" s="3"/>
      <c r="F55" s="3"/>
      <c r="G55" s="3"/>
      <c r="H55" s="3"/>
      <c r="I55" s="3"/>
      <c r="J55" s="3"/>
      <c r="K55" s="75" t="s">
        <v>177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44">
        <v>2002</v>
      </c>
      <c r="Y55" s="46">
        <v>-805407</v>
      </c>
      <c r="Z55" s="46">
        <v>-201575</v>
      </c>
      <c r="AA55" s="46">
        <f t="shared" si="72"/>
        <v>-1006982</v>
      </c>
      <c r="AB55" s="3">
        <f>AB54+AA55</f>
        <v>968330</v>
      </c>
      <c r="AC55" s="64" t="s">
        <v>134</v>
      </c>
      <c r="AD55" s="64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45" t="s">
        <v>195</v>
      </c>
      <c r="BK55" s="3"/>
      <c r="BL55" s="3"/>
      <c r="BM55" s="3"/>
      <c r="BS55" s="35"/>
    </row>
    <row r="56" spans="2:74" ht="13.5" customHeight="1">
      <c r="B56" s="47" t="s">
        <v>106</v>
      </c>
      <c r="D56" s="47"/>
      <c r="E56" s="47"/>
      <c r="K56" s="74" t="s">
        <v>188</v>
      </c>
      <c r="X56" s="48">
        <v>2003</v>
      </c>
      <c r="Y56" s="49">
        <v>-530552</v>
      </c>
      <c r="Z56" s="49">
        <v>-137071</v>
      </c>
      <c r="AA56" s="46">
        <f t="shared" si="72"/>
        <v>-667623</v>
      </c>
      <c r="AB56" s="3">
        <f>AB55+AA56</f>
        <v>300707</v>
      </c>
      <c r="AC56" s="64" t="s">
        <v>135</v>
      </c>
      <c r="AD56" s="64"/>
      <c r="BL56" s="8"/>
      <c r="BM56" s="8"/>
      <c r="BN56" s="50"/>
      <c r="BO56" s="50"/>
      <c r="BP56" s="50"/>
      <c r="BQ56" s="50"/>
      <c r="BR56" s="50"/>
      <c r="BS56" s="35"/>
      <c r="BU56" s="8"/>
      <c r="BV56" s="8"/>
    </row>
    <row r="57" spans="1:71" ht="13.5" customHeight="1">
      <c r="A57"/>
      <c r="B57" s="47" t="s">
        <v>107</v>
      </c>
      <c r="E57" s="31"/>
      <c r="G57" s="51" t="s">
        <v>108</v>
      </c>
      <c r="H57" s="52">
        <v>32400</v>
      </c>
      <c r="I57" s="3"/>
      <c r="J57" s="3"/>
      <c r="K57" s="77" t="s">
        <v>178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44">
        <v>2004</v>
      </c>
      <c r="Y57" s="46">
        <v>-236202</v>
      </c>
      <c r="Z57" s="46">
        <v>-64505</v>
      </c>
      <c r="AA57" s="46">
        <f t="shared" si="72"/>
        <v>-300707</v>
      </c>
      <c r="AB57" s="3">
        <f>AB56+AA57</f>
        <v>0</v>
      </c>
      <c r="AC57" s="3"/>
      <c r="AD57" s="3"/>
      <c r="AK57" s="3"/>
      <c r="AL57" s="3"/>
      <c r="AM57" s="3"/>
      <c r="AN57" s="3"/>
      <c r="AP57" s="3"/>
      <c r="AS57" s="3"/>
      <c r="AX57" s="31"/>
      <c r="BF57" s="3"/>
      <c r="BG57" s="3"/>
      <c r="BK57" s="3"/>
      <c r="BL57" s="3"/>
      <c r="BM57" s="3"/>
      <c r="BS57" s="35"/>
    </row>
    <row r="58" spans="1:71" ht="13.5" customHeight="1">
      <c r="A58" s="53"/>
      <c r="B58" s="52"/>
      <c r="C58" s="31"/>
      <c r="D58" s="52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K58" s="3"/>
      <c r="AL58" s="3"/>
      <c r="AM58" s="3"/>
      <c r="AN58" s="3"/>
      <c r="AP58" s="3"/>
      <c r="AS58" s="3"/>
      <c r="AX58" s="31"/>
      <c r="BF58" s="3"/>
      <c r="BG58" s="3"/>
      <c r="BK58" s="3"/>
      <c r="BL58" s="3"/>
      <c r="BM58" s="3"/>
      <c r="BS58" s="35"/>
    </row>
    <row r="59" spans="1:71" ht="13.5" customHeight="1">
      <c r="A59" s="53"/>
      <c r="B59" s="52"/>
      <c r="C59" s="31"/>
      <c r="D59" s="52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K59" s="3"/>
      <c r="AL59" s="3"/>
      <c r="AM59" s="3"/>
      <c r="AN59" s="3"/>
      <c r="AP59" s="3"/>
      <c r="AS59" s="3"/>
      <c r="AX59" s="31"/>
      <c r="BF59" s="3"/>
      <c r="BG59" s="3"/>
      <c r="BK59" s="3"/>
      <c r="BL59" s="3"/>
      <c r="BM59" s="3"/>
      <c r="BS59" s="35"/>
    </row>
    <row r="60" spans="1:71" ht="13.5" customHeight="1">
      <c r="A60" s="53"/>
      <c r="B60" s="52"/>
      <c r="C60" s="31"/>
      <c r="D60" s="52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K60" s="3"/>
      <c r="AL60" s="3"/>
      <c r="AM60" s="3"/>
      <c r="AN60" s="3"/>
      <c r="AP60" s="3"/>
      <c r="AS60" s="3"/>
      <c r="AX60" s="31"/>
      <c r="BF60" s="3"/>
      <c r="BG60" s="3"/>
      <c r="BK60" s="3"/>
      <c r="BL60" s="3"/>
      <c r="BM60" s="3"/>
      <c r="BS60" s="35"/>
    </row>
    <row r="61" spans="1:71" ht="13.5" customHeight="1">
      <c r="A61"/>
      <c r="B61" s="54"/>
      <c r="C61" s="3"/>
      <c r="D61" s="9" t="s">
        <v>109</v>
      </c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K61" s="3"/>
      <c r="AL61" s="3"/>
      <c r="AM61" s="3"/>
      <c r="AN61" s="3"/>
      <c r="AP61" s="3"/>
      <c r="AS61" s="3"/>
      <c r="AX61" s="31"/>
      <c r="BF61" s="3"/>
      <c r="BG61" s="3"/>
      <c r="BK61" s="3"/>
      <c r="BL61" s="3"/>
      <c r="BM61" s="3"/>
      <c r="BS61" s="35"/>
    </row>
    <row r="62" spans="1:71" ht="13.5" customHeight="1">
      <c r="A62"/>
      <c r="B62" s="28"/>
      <c r="C62" s="13" t="s">
        <v>110</v>
      </c>
      <c r="D62" s="9" t="s">
        <v>31</v>
      </c>
      <c r="E62" s="9" t="s">
        <v>14</v>
      </c>
      <c r="F62" s="9" t="s">
        <v>111</v>
      </c>
      <c r="G62" s="9"/>
      <c r="H62" s="9"/>
      <c r="AX62" s="31"/>
      <c r="BK62" s="3"/>
      <c r="BL62" s="3"/>
      <c r="BM62" s="3"/>
      <c r="BS62" s="35"/>
    </row>
    <row r="63" spans="1:71" ht="13.5" customHeight="1">
      <c r="A63"/>
      <c r="B63" s="28" t="s">
        <v>86</v>
      </c>
      <c r="C63" s="9" t="s">
        <v>112</v>
      </c>
      <c r="D63" s="4">
        <v>0.2</v>
      </c>
      <c r="E63" s="4">
        <v>0.8</v>
      </c>
      <c r="F63" s="9" t="s">
        <v>113</v>
      </c>
      <c r="G63" s="4"/>
      <c r="H63" s="4"/>
      <c r="AN63" s="31"/>
      <c r="AP63" s="31"/>
      <c r="AS63" s="31"/>
      <c r="AX63" s="31"/>
      <c r="BF63" s="31"/>
      <c r="BG63" s="31"/>
      <c r="BK63" s="3"/>
      <c r="BL63" s="3"/>
      <c r="BM63" s="3"/>
      <c r="BS63" s="35"/>
    </row>
    <row r="64" spans="1:65" ht="13.5" customHeight="1">
      <c r="A64"/>
      <c r="B64" s="28">
        <v>2001</v>
      </c>
      <c r="C64" s="3">
        <f aca="true" t="shared" si="73" ref="C64:C75">+L22</f>
        <v>0</v>
      </c>
      <c r="D64" s="3">
        <f aca="true" t="shared" si="74" ref="D64:D75">+C64*0.2</f>
        <v>0</v>
      </c>
      <c r="E64" s="3">
        <f aca="true" t="shared" si="75" ref="E64:E75">+C64*0.8</f>
        <v>0</v>
      </c>
      <c r="F64" s="3">
        <f aca="true" t="shared" si="76" ref="F64:F75">+E64*0.5</f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K64" s="3"/>
      <c r="AL64" s="3"/>
      <c r="AM64" s="3"/>
      <c r="AN64" s="3"/>
      <c r="AP64" s="3"/>
      <c r="AS64" s="3"/>
      <c r="AX64" s="31"/>
      <c r="BF64" s="3"/>
      <c r="BG64" s="3"/>
      <c r="BK64" s="3"/>
      <c r="BL64" s="3"/>
      <c r="BM64" s="3"/>
    </row>
    <row r="65" spans="1:65" ht="13.5" customHeight="1">
      <c r="A65"/>
      <c r="B65" s="28">
        <v>2002</v>
      </c>
      <c r="C65" s="3">
        <f t="shared" si="73"/>
        <v>152197.1388812</v>
      </c>
      <c r="D65" s="3">
        <f t="shared" si="74"/>
        <v>30439.42777624</v>
      </c>
      <c r="E65" s="3">
        <f t="shared" si="75"/>
        <v>121757.71110496</v>
      </c>
      <c r="F65" s="3">
        <f t="shared" si="76"/>
        <v>60878.85555248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K65" s="3"/>
      <c r="AL65" s="3"/>
      <c r="AM65" s="3"/>
      <c r="AN65" s="3"/>
      <c r="AP65" s="3"/>
      <c r="AS65" s="3"/>
      <c r="AX65" s="31"/>
      <c r="BF65" s="3"/>
      <c r="BG65" s="3"/>
      <c r="BK65" s="3"/>
      <c r="BL65" s="3"/>
      <c r="BM65" s="3"/>
    </row>
    <row r="66" spans="1:65" ht="13.5" customHeight="1">
      <c r="A66"/>
      <c r="B66" s="28">
        <v>2003</v>
      </c>
      <c r="C66" s="3">
        <f t="shared" si="73"/>
        <v>298638.2124432</v>
      </c>
      <c r="D66" s="3">
        <f t="shared" si="74"/>
        <v>59727.642488640005</v>
      </c>
      <c r="E66" s="3">
        <f t="shared" si="75"/>
        <v>238910.56995456002</v>
      </c>
      <c r="F66" s="3">
        <f t="shared" si="76"/>
        <v>119455.28497728001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K66" s="3"/>
      <c r="AL66" s="3"/>
      <c r="AM66" s="3"/>
      <c r="AN66" s="3"/>
      <c r="AP66" s="3"/>
      <c r="AS66" s="3"/>
      <c r="AX66" s="31"/>
      <c r="BF66" s="3"/>
      <c r="BG66" s="3"/>
      <c r="BK66" s="3"/>
      <c r="BL66" s="3"/>
      <c r="BM66" s="3"/>
    </row>
    <row r="67" spans="1:65" ht="13.5" customHeight="1">
      <c r="A67"/>
      <c r="B67" s="28">
        <v>2004</v>
      </c>
      <c r="C67" s="3">
        <f t="shared" si="73"/>
        <v>444239.2860052</v>
      </c>
      <c r="D67" s="3">
        <f t="shared" si="74"/>
        <v>88847.85720104001</v>
      </c>
      <c r="E67" s="3">
        <f t="shared" si="75"/>
        <v>355391.42880416004</v>
      </c>
      <c r="F67" s="3">
        <f t="shared" si="76"/>
        <v>177695.71440208002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K67" s="3"/>
      <c r="AL67" s="3"/>
      <c r="AM67" s="3"/>
      <c r="AN67" s="3"/>
      <c r="AP67" s="3"/>
      <c r="AS67" s="3"/>
      <c r="AX67" s="31"/>
      <c r="BF67" s="3"/>
      <c r="BG67" s="3"/>
      <c r="BK67" s="3"/>
      <c r="BL67" s="3"/>
      <c r="BM67" s="3"/>
    </row>
    <row r="68" spans="1:64" ht="13.5" customHeight="1">
      <c r="A68"/>
      <c r="B68" s="28">
        <v>2005</v>
      </c>
      <c r="C68" s="3">
        <f t="shared" si="73"/>
        <v>590680.3595672001</v>
      </c>
      <c r="D68" s="3">
        <f t="shared" si="74"/>
        <v>118136.07191344001</v>
      </c>
      <c r="E68" s="3">
        <f t="shared" si="75"/>
        <v>472544.28765376005</v>
      </c>
      <c r="F68" s="3">
        <f t="shared" si="76"/>
        <v>236272.14382688003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K68" s="3"/>
      <c r="AL68" s="3"/>
      <c r="AM68" s="3"/>
      <c r="AN68" s="3"/>
      <c r="AP68" s="3"/>
      <c r="AS68" s="3"/>
      <c r="AX68" s="31"/>
      <c r="BF68" s="3"/>
      <c r="BG68" s="3"/>
      <c r="BK68" s="3"/>
      <c r="BL68" s="3"/>
    </row>
    <row r="69" spans="1:59" ht="13.5" customHeight="1">
      <c r="A69"/>
      <c r="B69" s="28">
        <v>2006</v>
      </c>
      <c r="C69" s="3">
        <f t="shared" si="73"/>
        <v>737121.4331292</v>
      </c>
      <c r="D69" s="3">
        <f t="shared" si="74"/>
        <v>147424.28662584</v>
      </c>
      <c r="E69" s="3">
        <f t="shared" si="75"/>
        <v>589697.14650336</v>
      </c>
      <c r="F69" s="3">
        <f t="shared" si="76"/>
        <v>294848.57325168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K69" s="3"/>
      <c r="AL69" s="3"/>
      <c r="AM69" s="3"/>
      <c r="AN69" s="3"/>
      <c r="AP69" s="3"/>
      <c r="AS69" s="3"/>
      <c r="AX69" s="31"/>
      <c r="BF69" s="3"/>
      <c r="BG69" s="3"/>
    </row>
    <row r="70" spans="1:59" ht="13.5" customHeight="1">
      <c r="A70"/>
      <c r="B70" s="28">
        <v>2007</v>
      </c>
      <c r="C70" s="3">
        <f t="shared" si="73"/>
        <v>883562.5066912001</v>
      </c>
      <c r="D70" s="3">
        <f t="shared" si="74"/>
        <v>176712.50133824002</v>
      </c>
      <c r="E70" s="3">
        <f t="shared" si="75"/>
        <v>706850.0053529601</v>
      </c>
      <c r="F70" s="3">
        <f t="shared" si="76"/>
        <v>353425.00267648004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K70" s="3"/>
      <c r="AL70" s="3"/>
      <c r="AM70" s="3"/>
      <c r="AN70" s="3"/>
      <c r="AP70" s="3"/>
      <c r="AS70" s="3"/>
      <c r="AX70" s="31"/>
      <c r="BF70" s="3"/>
      <c r="BG70" s="3"/>
    </row>
    <row r="71" spans="1:59" ht="13.5" customHeight="1">
      <c r="A71"/>
      <c r="B71" s="28">
        <v>2008</v>
      </c>
      <c r="C71" s="3">
        <f t="shared" si="73"/>
        <v>1030003.5802532</v>
      </c>
      <c r="D71" s="3">
        <f t="shared" si="74"/>
        <v>206000.71605064</v>
      </c>
      <c r="E71" s="3">
        <f t="shared" si="75"/>
        <v>824002.86420256</v>
      </c>
      <c r="F71" s="3">
        <f t="shared" si="76"/>
        <v>412001.43210128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K71" s="3"/>
      <c r="AL71" s="3"/>
      <c r="AM71" s="3"/>
      <c r="AN71" s="3"/>
      <c r="AP71" s="3"/>
      <c r="AS71" s="3"/>
      <c r="AX71" s="31"/>
      <c r="BF71" s="3"/>
      <c r="BG71" s="3"/>
    </row>
    <row r="72" spans="1:59" ht="13.5" customHeight="1">
      <c r="A72"/>
      <c r="B72" s="28">
        <v>2009</v>
      </c>
      <c r="C72" s="3">
        <f t="shared" si="73"/>
        <v>1175464.6538151999</v>
      </c>
      <c r="D72" s="3">
        <f t="shared" si="74"/>
        <v>235092.93076303997</v>
      </c>
      <c r="E72" s="3">
        <f t="shared" si="75"/>
        <v>940371.7230521599</v>
      </c>
      <c r="F72" s="3">
        <f t="shared" si="76"/>
        <v>470185.86152607994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K72" s="3"/>
      <c r="AL72" s="3"/>
      <c r="AM72" s="3"/>
      <c r="AN72" s="3"/>
      <c r="AP72" s="3"/>
      <c r="AS72" s="3"/>
      <c r="AX72" s="31"/>
      <c r="BF72" s="3"/>
      <c r="BG72" s="3"/>
    </row>
    <row r="73" spans="1:50" ht="13.5" customHeight="1">
      <c r="A73"/>
      <c r="B73" s="28">
        <v>2010</v>
      </c>
      <c r="C73" s="3">
        <f t="shared" si="73"/>
        <v>1321905.7273771998</v>
      </c>
      <c r="D73" s="3">
        <f t="shared" si="74"/>
        <v>264381.14547543996</v>
      </c>
      <c r="E73" s="3">
        <f t="shared" si="75"/>
        <v>1057524.5819017598</v>
      </c>
      <c r="F73" s="3">
        <f t="shared" si="76"/>
        <v>528762.2909508799</v>
      </c>
      <c r="G73" s="3"/>
      <c r="H73" s="3"/>
      <c r="AX73" s="31"/>
    </row>
    <row r="74" spans="1:59" ht="13.5" customHeight="1">
      <c r="A74"/>
      <c r="B74" s="28">
        <v>2011</v>
      </c>
      <c r="C74" s="3">
        <f t="shared" si="73"/>
        <v>1468346.8009391997</v>
      </c>
      <c r="D74" s="3">
        <f t="shared" si="74"/>
        <v>293669.36018783995</v>
      </c>
      <c r="E74" s="3">
        <f t="shared" si="75"/>
        <v>1174677.4407513598</v>
      </c>
      <c r="F74" s="3">
        <f t="shared" si="76"/>
        <v>587338.7203756799</v>
      </c>
      <c r="G74" s="3"/>
      <c r="H74" s="3"/>
      <c r="AN74" s="31"/>
      <c r="AP74" s="31"/>
      <c r="AS74" s="31"/>
      <c r="BF74" s="31"/>
      <c r="BG74" s="31"/>
    </row>
    <row r="75" spans="1:59" ht="13.5" customHeight="1">
      <c r="A75"/>
      <c r="B75" s="28">
        <v>2012</v>
      </c>
      <c r="C75" s="3">
        <f t="shared" si="73"/>
        <v>1614787.8745011997</v>
      </c>
      <c r="D75" s="3">
        <f t="shared" si="74"/>
        <v>322957.57490023994</v>
      </c>
      <c r="E75" s="3">
        <f t="shared" si="75"/>
        <v>1291830.2996009598</v>
      </c>
      <c r="F75" s="3">
        <f t="shared" si="76"/>
        <v>645915.1498004799</v>
      </c>
      <c r="G75" s="9"/>
      <c r="H75" s="9"/>
      <c r="AN75" s="31"/>
      <c r="AP75" s="31"/>
      <c r="AS75" s="31"/>
      <c r="BF75" s="31"/>
      <c r="BG75" s="31"/>
    </row>
    <row r="76" spans="1:59" ht="13.5" customHeight="1">
      <c r="A76"/>
      <c r="B76" s="28" t="s">
        <v>89</v>
      </c>
      <c r="C76" s="3">
        <f>SUM(C64:C75)</f>
        <v>9716947.5736032</v>
      </c>
      <c r="D76" s="3">
        <f>SUM(D64:D75)</f>
        <v>1943389.51472064</v>
      </c>
      <c r="E76" s="3">
        <f>SUM(E64:E75)</f>
        <v>7773558.05888256</v>
      </c>
      <c r="F76" s="3">
        <f>SUM(F64:F75)</f>
        <v>3886779.02944128</v>
      </c>
      <c r="G76" s="4"/>
      <c r="H76" s="4"/>
      <c r="AN76" s="31"/>
      <c r="AP76" s="31"/>
      <c r="AS76" s="31"/>
      <c r="BF76" s="31"/>
      <c r="BG76" s="31"/>
    </row>
    <row r="77" spans="1:59" ht="13.5" customHeight="1">
      <c r="A77"/>
      <c r="B77" s="2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K77" s="3"/>
      <c r="AL77" s="3"/>
      <c r="AM77" s="3"/>
      <c r="AN77" s="3"/>
      <c r="AP77" s="3"/>
      <c r="AS77" s="3"/>
      <c r="BF77" s="3"/>
      <c r="BG77" s="3"/>
    </row>
    <row r="78" spans="1:59" ht="13.5" customHeight="1">
      <c r="A78"/>
      <c r="B78" s="28" t="s">
        <v>90</v>
      </c>
      <c r="C78" s="3">
        <f>+C76</f>
        <v>9716947.5736032</v>
      </c>
      <c r="D78" s="3">
        <f>+D76</f>
        <v>1943389.51472064</v>
      </c>
      <c r="E78" s="3">
        <f>+E76</f>
        <v>7773558.05888256</v>
      </c>
      <c r="F78" s="3">
        <f>+F76</f>
        <v>3886779.02944128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K78" s="3"/>
      <c r="AL78" s="3"/>
      <c r="AM78" s="3"/>
      <c r="AN78" s="3"/>
      <c r="AP78" s="3"/>
      <c r="AS78" s="3"/>
      <c r="BF78" s="3"/>
      <c r="BG78" s="3"/>
    </row>
    <row r="79" spans="1:59" ht="13.5" customHeight="1">
      <c r="A79"/>
      <c r="B7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K79" s="3"/>
      <c r="AL79" s="3"/>
      <c r="AM79" s="3"/>
      <c r="AN79" s="3"/>
      <c r="AP79" s="3"/>
      <c r="AS79" s="3"/>
      <c r="BF79" s="3"/>
      <c r="BG79" s="3"/>
    </row>
    <row r="80" spans="1:59" ht="13.5" customHeight="1">
      <c r="A80"/>
      <c r="B80" s="2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K80" s="3"/>
      <c r="AL80" s="3"/>
      <c r="AM80" s="3"/>
      <c r="AN80" s="3"/>
      <c r="AP80" s="3"/>
      <c r="AS80" s="3"/>
      <c r="BF80" s="3"/>
      <c r="BG80" s="3"/>
    </row>
    <row r="81" spans="1:59" ht="13.5" customHeight="1">
      <c r="A81"/>
      <c r="B81" s="2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K81" s="3"/>
      <c r="AL81" s="3"/>
      <c r="AM81" s="3"/>
      <c r="AN81" s="3"/>
      <c r="AP81" s="3"/>
      <c r="AS81" s="3"/>
      <c r="BF81" s="3"/>
      <c r="BG81" s="3"/>
    </row>
    <row r="82" spans="1:59" ht="13.5" customHeight="1">
      <c r="A82"/>
      <c r="B82" s="2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K82" s="3"/>
      <c r="AL82" s="3"/>
      <c r="AM82" s="3"/>
      <c r="AN82" s="3"/>
      <c r="AP82" s="3"/>
      <c r="AS82" s="3"/>
      <c r="BF82" s="3"/>
      <c r="BG82" s="3"/>
    </row>
    <row r="83" spans="1:59" ht="13.5" customHeight="1">
      <c r="A83"/>
      <c r="B8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K83" s="3"/>
      <c r="AL83" s="3"/>
      <c r="AM83" s="3"/>
      <c r="AN83" s="3"/>
      <c r="AP83" s="3"/>
      <c r="AS83" s="3"/>
      <c r="AX83" s="31"/>
      <c r="BF83" s="3"/>
      <c r="BG83" s="3"/>
    </row>
    <row r="84" spans="1:59" ht="13.5" customHeight="1">
      <c r="A84"/>
      <c r="B84" s="2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K84" s="3"/>
      <c r="AL84" s="3"/>
      <c r="AM84" s="3"/>
      <c r="AN84" s="3"/>
      <c r="AP84" s="3"/>
      <c r="AS84" s="3"/>
      <c r="BF84" s="3"/>
      <c r="BG84" s="3"/>
    </row>
    <row r="85" spans="1:62" ht="13.5" customHeight="1">
      <c r="A85"/>
      <c r="B85"/>
      <c r="C85"/>
      <c r="D85"/>
      <c r="E85"/>
      <c r="F85"/>
      <c r="G8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1"/>
      <c r="AA85" s="3"/>
      <c r="AB85" s="3"/>
      <c r="AC85" s="3"/>
      <c r="AD85" s="3"/>
      <c r="AG85" s="20"/>
      <c r="AH85" s="20"/>
      <c r="AI85" s="20"/>
      <c r="AJ85" s="20"/>
      <c r="AT85" s="20"/>
      <c r="AU85" s="20"/>
      <c r="BJ85" s="20"/>
    </row>
    <row r="86" spans="1:62" ht="13.5" customHeight="1">
      <c r="A86"/>
      <c r="B86"/>
      <c r="C86"/>
      <c r="D86"/>
      <c r="E86"/>
      <c r="F86"/>
      <c r="G8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1"/>
      <c r="AA86" s="3"/>
      <c r="AB86" s="3"/>
      <c r="AC86" s="3"/>
      <c r="AD86" s="3"/>
      <c r="AG86" s="20"/>
      <c r="AH86" s="20"/>
      <c r="AI86" s="20"/>
      <c r="AJ86" s="20"/>
      <c r="AT86" s="20"/>
      <c r="AU86" s="20"/>
      <c r="BJ86" s="20"/>
    </row>
    <row r="87" spans="1:62" ht="13.5" customHeight="1">
      <c r="A87"/>
      <c r="B87"/>
      <c r="C87"/>
      <c r="D87"/>
      <c r="E87"/>
      <c r="F87"/>
      <c r="G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1"/>
      <c r="AA87" s="3"/>
      <c r="AB87" s="3"/>
      <c r="AC87" s="3"/>
      <c r="AD87" s="3"/>
      <c r="AG87" s="20"/>
      <c r="AH87" s="20"/>
      <c r="AI87" s="20"/>
      <c r="AJ87" s="20"/>
      <c r="AT87" s="20"/>
      <c r="AU87" s="20"/>
      <c r="BJ87" s="20"/>
    </row>
    <row r="88" spans="1:62" ht="12.75">
      <c r="A88"/>
      <c r="B88"/>
      <c r="C88"/>
      <c r="D88"/>
      <c r="E88"/>
      <c r="F88"/>
      <c r="G8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1"/>
      <c r="AA88" s="3"/>
      <c r="AB88" s="3"/>
      <c r="AC88" s="3"/>
      <c r="AD88" s="3"/>
      <c r="AG88" s="20"/>
      <c r="AH88" s="20"/>
      <c r="AI88" s="20"/>
      <c r="AJ88" s="20"/>
      <c r="AT88" s="20"/>
      <c r="AU88" s="20"/>
      <c r="BJ88" s="20"/>
    </row>
    <row r="89" spans="1:62" ht="12.75">
      <c r="A89"/>
      <c r="B89"/>
      <c r="C89"/>
      <c r="D89"/>
      <c r="E89"/>
      <c r="F89"/>
      <c r="G8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1"/>
      <c r="AA89" s="3"/>
      <c r="AB89" s="3"/>
      <c r="AC89" s="3"/>
      <c r="AD89" s="3"/>
      <c r="AG89" s="20"/>
      <c r="AH89" s="20"/>
      <c r="AI89" s="20"/>
      <c r="AJ89" s="20"/>
      <c r="AT89" s="20"/>
      <c r="AU89" s="20"/>
      <c r="BJ89" s="20"/>
    </row>
    <row r="90" spans="1:62" ht="13.5" customHeight="1">
      <c r="A90"/>
      <c r="B90"/>
      <c r="C90"/>
      <c r="D90"/>
      <c r="E90"/>
      <c r="F90"/>
      <c r="G9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1"/>
      <c r="AA90" s="3"/>
      <c r="AB90" s="3"/>
      <c r="AC90" s="3"/>
      <c r="AD90" s="3"/>
      <c r="AG90" s="20"/>
      <c r="AH90" s="20"/>
      <c r="AI90" s="20"/>
      <c r="AJ90" s="20"/>
      <c r="AT90" s="20"/>
      <c r="AU90" s="20"/>
      <c r="BJ90" s="20"/>
    </row>
    <row r="91" spans="1:62" ht="12.75">
      <c r="A91"/>
      <c r="B91"/>
      <c r="C91"/>
      <c r="D91"/>
      <c r="E91"/>
      <c r="F91"/>
      <c r="G9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1"/>
      <c r="AA91" s="3"/>
      <c r="AB91" s="3"/>
      <c r="AC91" s="3"/>
      <c r="AD91" s="3"/>
      <c r="AG91" s="20"/>
      <c r="AH91" s="20"/>
      <c r="AI91" s="20"/>
      <c r="AJ91" s="20"/>
      <c r="AT91" s="20"/>
      <c r="AU91" s="20"/>
      <c r="BJ91" s="20"/>
    </row>
    <row r="92" spans="1:62" ht="12.75">
      <c r="A92"/>
      <c r="B92"/>
      <c r="C92"/>
      <c r="D92"/>
      <c r="E92"/>
      <c r="F92"/>
      <c r="G9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1"/>
      <c r="AA92" s="3"/>
      <c r="AB92" s="3"/>
      <c r="AC92" s="3"/>
      <c r="AD92" s="3"/>
      <c r="AG92" s="20"/>
      <c r="AH92" s="20"/>
      <c r="AI92" s="20"/>
      <c r="AJ92" s="20"/>
      <c r="AT92" s="20"/>
      <c r="AU92" s="20"/>
      <c r="BJ92" s="20"/>
    </row>
    <row r="93" spans="1:62" ht="12.75">
      <c r="A93"/>
      <c r="B93"/>
      <c r="C93"/>
      <c r="D93"/>
      <c r="E93"/>
      <c r="F93"/>
      <c r="G9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1"/>
      <c r="AA93" s="3"/>
      <c r="AB93" s="3"/>
      <c r="AC93" s="3"/>
      <c r="AD93" s="3"/>
      <c r="AG93" s="20"/>
      <c r="AH93" s="20"/>
      <c r="AI93" s="20"/>
      <c r="AJ93" s="20"/>
      <c r="AT93" s="20"/>
      <c r="AU93" s="20"/>
      <c r="BJ93" s="20"/>
    </row>
    <row r="94" spans="1:62" ht="12.75">
      <c r="A94"/>
      <c r="B94"/>
      <c r="C94"/>
      <c r="D94"/>
      <c r="E94"/>
      <c r="F94"/>
      <c r="G94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1"/>
      <c r="AA94" s="3"/>
      <c r="AB94" s="3"/>
      <c r="AC94" s="3"/>
      <c r="AD94" s="3"/>
      <c r="AG94" s="20"/>
      <c r="AH94" s="20"/>
      <c r="AI94" s="20"/>
      <c r="AJ94" s="20"/>
      <c r="AT94" s="20"/>
      <c r="AU94" s="20"/>
      <c r="BJ94" s="20"/>
    </row>
    <row r="95" spans="1:74" s="27" customFormat="1" ht="12.75">
      <c r="A95"/>
      <c r="B95"/>
      <c r="C95"/>
      <c r="D95"/>
      <c r="E95"/>
      <c r="F95"/>
      <c r="G95"/>
      <c r="H95" s="3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55"/>
      <c r="AQ95" s="56"/>
      <c r="BJ95" s="2"/>
      <c r="BN95" s="57"/>
      <c r="BO95" s="57"/>
      <c r="BP95" s="57"/>
      <c r="BQ95" s="57"/>
      <c r="BR95" s="57"/>
      <c r="BS95" s="58"/>
      <c r="BT95" s="2"/>
      <c r="BU95" s="2"/>
      <c r="BV95" s="2"/>
    </row>
    <row r="96" spans="1:74" s="27" customFormat="1" ht="12.75">
      <c r="A96"/>
      <c r="B96"/>
      <c r="C96"/>
      <c r="D96"/>
      <c r="E96"/>
      <c r="F96"/>
      <c r="G96"/>
      <c r="H96" s="2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0"/>
      <c r="AP96" s="2"/>
      <c r="AQ96" s="20"/>
      <c r="AR96" s="20"/>
      <c r="AS96" s="2"/>
      <c r="AT96"/>
      <c r="AU96"/>
      <c r="AV96" s="20"/>
      <c r="AW96" s="20"/>
      <c r="BF96" s="2"/>
      <c r="BG96" s="2"/>
      <c r="BJ96" s="2"/>
      <c r="BN96" s="57"/>
      <c r="BO96" s="57"/>
      <c r="BP96" s="57"/>
      <c r="BQ96" s="57"/>
      <c r="BR96" s="57"/>
      <c r="BS96" s="58"/>
      <c r="BT96" s="2"/>
      <c r="BU96" s="2"/>
      <c r="BV96" s="2"/>
    </row>
    <row r="97" spans="1:59" ht="13.5" customHeight="1">
      <c r="A97" s="5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K97" s="3"/>
      <c r="AL97" s="3"/>
      <c r="AM97" s="3"/>
      <c r="AN97" s="3"/>
      <c r="AP97" s="3"/>
      <c r="AS97" s="3"/>
      <c r="BF97" s="3"/>
      <c r="BG97" s="3"/>
    </row>
    <row r="98" spans="66:74" ht="13.5" customHeight="1">
      <c r="BN98" s="50"/>
      <c r="BO98" s="50"/>
      <c r="BP98" s="50"/>
      <c r="BQ98" s="50"/>
      <c r="BR98" s="50"/>
      <c r="BU98" s="8"/>
      <c r="BV98" s="8"/>
    </row>
    <row r="99" spans="1:59" ht="13.5" customHeight="1">
      <c r="A99" s="28"/>
      <c r="B99" s="9"/>
      <c r="C99" s="9"/>
      <c r="D99" s="9"/>
      <c r="E99" s="9"/>
      <c r="F99" s="4"/>
      <c r="G99" s="59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K99" s="3"/>
      <c r="AL99" s="3"/>
      <c r="AM99" s="3"/>
      <c r="AN99" s="3"/>
      <c r="AP99" s="3"/>
      <c r="AS99" s="3"/>
      <c r="BF99" s="3"/>
      <c r="BG99" s="3"/>
    </row>
    <row r="100" spans="1:8" ht="13.5" customHeight="1">
      <c r="A100" s="28"/>
      <c r="B100" s="3"/>
      <c r="C100" s="3"/>
      <c r="D100" s="3"/>
      <c r="E100" s="3"/>
      <c r="F100" s="3"/>
      <c r="G100" s="60"/>
      <c r="H100" s="3"/>
    </row>
    <row r="101" spans="1:8" ht="13.5" customHeight="1">
      <c r="A101" s="28"/>
      <c r="B101" s="3"/>
      <c r="C101" s="3"/>
      <c r="D101" s="3"/>
      <c r="E101" s="3"/>
      <c r="F101" s="3"/>
      <c r="G101" s="60"/>
      <c r="H101" s="3"/>
    </row>
    <row r="102" spans="1:8" ht="13.5" customHeight="1">
      <c r="A102" s="28"/>
      <c r="B102" s="3"/>
      <c r="C102" s="3"/>
      <c r="D102" s="3"/>
      <c r="E102" s="3"/>
      <c r="F102" s="3"/>
      <c r="G102" s="60"/>
      <c r="H102" s="3"/>
    </row>
    <row r="103" spans="1:8" ht="13.5" customHeight="1">
      <c r="A103" s="28"/>
      <c r="B103" s="3"/>
      <c r="C103" s="3"/>
      <c r="D103" s="3"/>
      <c r="E103" s="3"/>
      <c r="F103" s="3"/>
      <c r="G103" s="60"/>
      <c r="H103" s="3"/>
    </row>
    <row r="104" spans="1:8" ht="13.5" customHeight="1">
      <c r="A104" s="28"/>
      <c r="B104" s="3"/>
      <c r="C104" s="3"/>
      <c r="D104" s="3"/>
      <c r="E104" s="3"/>
      <c r="F104" s="3"/>
      <c r="G104" s="60"/>
      <c r="H104" s="3"/>
    </row>
    <row r="105" spans="1:8" ht="13.5" customHeight="1">
      <c r="A105" s="28"/>
      <c r="B105" s="3"/>
      <c r="C105" s="3"/>
      <c r="D105" s="3"/>
      <c r="E105" s="3"/>
      <c r="F105" s="3"/>
      <c r="G105" s="60"/>
      <c r="H105" s="3"/>
    </row>
    <row r="106" spans="1:8" ht="13.5" customHeight="1">
      <c r="A106" s="28"/>
      <c r="B106" s="3"/>
      <c r="C106" s="3"/>
      <c r="D106" s="3"/>
      <c r="E106" s="3"/>
      <c r="F106" s="3"/>
      <c r="G106" s="60"/>
      <c r="H106" s="3"/>
    </row>
    <row r="107" spans="1:8" ht="13.5" customHeight="1">
      <c r="A107" s="28"/>
      <c r="B107" s="3"/>
      <c r="C107" s="3"/>
      <c r="D107" s="3"/>
      <c r="E107" s="3"/>
      <c r="F107" s="3"/>
      <c r="G107" s="60"/>
      <c r="H107" s="3"/>
    </row>
    <row r="108" spans="1:8" ht="13.5" customHeight="1">
      <c r="A108" s="28"/>
      <c r="B108" s="3"/>
      <c r="C108" s="3"/>
      <c r="D108" s="3"/>
      <c r="E108" s="3"/>
      <c r="F108" s="3"/>
      <c r="G108" s="60"/>
      <c r="H108" s="3"/>
    </row>
    <row r="109" spans="1:8" ht="13.5" customHeight="1">
      <c r="A109" s="28"/>
      <c r="B109" s="3"/>
      <c r="C109" s="3"/>
      <c r="D109" s="3"/>
      <c r="E109" s="3"/>
      <c r="F109" s="3"/>
      <c r="G109" s="60"/>
      <c r="H109" s="3"/>
    </row>
    <row r="110" spans="1:8" ht="13.5" customHeight="1">
      <c r="A110" s="28"/>
      <c r="B110" s="3"/>
      <c r="C110" s="3"/>
      <c r="D110" s="3"/>
      <c r="E110" s="3"/>
      <c r="F110" s="3"/>
      <c r="G110" s="60"/>
      <c r="H110" s="3"/>
    </row>
    <row r="111" spans="1:8" ht="13.5" customHeight="1">
      <c r="A111" s="28"/>
      <c r="B111" s="13"/>
      <c r="C111" s="9"/>
      <c r="D111" s="9"/>
      <c r="E111" s="9"/>
      <c r="F111" s="9"/>
      <c r="G111" s="61"/>
      <c r="H111" s="9"/>
    </row>
    <row r="112" spans="1:62" ht="13.5" customHeight="1">
      <c r="A112" s="28"/>
      <c r="B112" s="9"/>
      <c r="C112" s="9"/>
      <c r="D112" s="9"/>
      <c r="E112" s="9"/>
      <c r="F112" s="4"/>
      <c r="G112" s="59"/>
      <c r="H112" s="4"/>
      <c r="AG112" s="20"/>
      <c r="AH112" s="20"/>
      <c r="AI112" s="20"/>
      <c r="AJ112" s="20"/>
      <c r="BJ112" s="20"/>
    </row>
    <row r="113" spans="1:62" ht="13.5" customHeight="1">
      <c r="A113" s="28"/>
      <c r="B113" s="3"/>
      <c r="C113" s="3"/>
      <c r="D113" s="3"/>
      <c r="E113" s="3"/>
      <c r="F113" s="3"/>
      <c r="G113" s="60"/>
      <c r="H113" s="3"/>
      <c r="AG113" s="20"/>
      <c r="AH113" s="20"/>
      <c r="AI113" s="20"/>
      <c r="AJ113" s="20"/>
      <c r="BJ113" s="20"/>
    </row>
    <row r="114" spans="1:62" ht="13.5" customHeight="1">
      <c r="A114" s="28"/>
      <c r="B114" s="3"/>
      <c r="C114" s="3"/>
      <c r="D114" s="3"/>
      <c r="E114" s="3"/>
      <c r="F114" s="3"/>
      <c r="G114" s="60"/>
      <c r="H114" s="3"/>
      <c r="AG114" s="20"/>
      <c r="AH114" s="20"/>
      <c r="AI114" s="20"/>
      <c r="AJ114" s="20"/>
      <c r="BJ114" s="20"/>
    </row>
    <row r="115" spans="1:62" ht="13.5" customHeight="1">
      <c r="A115" s="28"/>
      <c r="B115" s="3"/>
      <c r="C115" s="3"/>
      <c r="D115" s="3"/>
      <c r="E115" s="3"/>
      <c r="F115" s="3"/>
      <c r="G115" s="60"/>
      <c r="H115" s="3"/>
      <c r="AG115" s="20"/>
      <c r="AH115" s="20"/>
      <c r="AI115" s="20"/>
      <c r="AJ115" s="20"/>
      <c r="BJ115" s="20"/>
    </row>
    <row r="116" spans="1:62" ht="13.5" customHeight="1">
      <c r="A116" s="28"/>
      <c r="B116" s="3"/>
      <c r="C116" s="3"/>
      <c r="D116" s="3"/>
      <c r="E116" s="3"/>
      <c r="F116" s="3"/>
      <c r="G116" s="60"/>
      <c r="H116" s="3"/>
      <c r="AG116" s="20"/>
      <c r="AH116" s="20"/>
      <c r="AI116" s="20"/>
      <c r="AJ116" s="20"/>
      <c r="BJ116" s="20"/>
    </row>
    <row r="117" spans="1:62" ht="13.5" customHeight="1">
      <c r="A117" s="28"/>
      <c r="B117" s="3"/>
      <c r="C117" s="3"/>
      <c r="D117" s="3"/>
      <c r="E117" s="3"/>
      <c r="F117" s="3"/>
      <c r="G117" s="60"/>
      <c r="H117" s="3"/>
      <c r="AG117" s="20"/>
      <c r="AH117" s="20"/>
      <c r="AI117" s="20"/>
      <c r="AJ117" s="20"/>
      <c r="BJ117" s="20"/>
    </row>
    <row r="118" spans="1:62" ht="13.5" customHeight="1">
      <c r="A118" s="28"/>
      <c r="B118" s="3"/>
      <c r="C118" s="3"/>
      <c r="D118" s="3"/>
      <c r="E118" s="3"/>
      <c r="F118" s="3"/>
      <c r="G118" s="60"/>
      <c r="H118" s="3"/>
      <c r="AG118" s="20"/>
      <c r="AH118" s="20"/>
      <c r="AI118" s="20"/>
      <c r="AJ118" s="20"/>
      <c r="BJ118" s="20"/>
    </row>
    <row r="119" spans="1:62" ht="13.5" customHeight="1">
      <c r="A119" s="28"/>
      <c r="B119" s="3"/>
      <c r="C119" s="3"/>
      <c r="D119" s="3"/>
      <c r="E119" s="3"/>
      <c r="F119" s="3"/>
      <c r="G119" s="60"/>
      <c r="H119" s="3"/>
      <c r="AG119" s="20"/>
      <c r="AH119" s="20"/>
      <c r="AI119" s="20"/>
      <c r="AJ119" s="20"/>
      <c r="BJ119" s="20"/>
    </row>
    <row r="120" spans="1:62" ht="13.5" customHeight="1">
      <c r="A120" s="28"/>
      <c r="B120" s="3"/>
      <c r="C120" s="3"/>
      <c r="D120" s="3"/>
      <c r="E120" s="3"/>
      <c r="F120" s="3"/>
      <c r="G120" s="60"/>
      <c r="H120" s="3"/>
      <c r="AG120" s="20"/>
      <c r="AH120" s="20"/>
      <c r="AI120" s="20"/>
      <c r="AJ120" s="20"/>
      <c r="BJ120" s="20"/>
    </row>
    <row r="121" spans="1:62" ht="13.5" customHeight="1">
      <c r="A121" s="28"/>
      <c r="B121" s="3"/>
      <c r="C121" s="3"/>
      <c r="D121" s="3"/>
      <c r="E121" s="3"/>
      <c r="F121" s="3"/>
      <c r="G121" s="60"/>
      <c r="H121" s="3"/>
      <c r="AG121" s="20"/>
      <c r="AH121" s="20"/>
      <c r="AI121" s="20"/>
      <c r="AJ121" s="20"/>
      <c r="BJ121" s="20"/>
    </row>
    <row r="122" spans="1:62" ht="13.5" customHeight="1">
      <c r="A122" s="28"/>
      <c r="B122" s="3"/>
      <c r="C122" s="3"/>
      <c r="D122" s="3"/>
      <c r="E122" s="3"/>
      <c r="F122" s="3"/>
      <c r="G122" s="60"/>
      <c r="H122" s="3"/>
      <c r="AG122" s="20"/>
      <c r="AH122" s="20"/>
      <c r="AI122" s="20"/>
      <c r="AJ122" s="20"/>
      <c r="BJ122" s="20"/>
    </row>
    <row r="123" spans="1:62" ht="13.5" customHeight="1">
      <c r="A123" s="28"/>
      <c r="B123" s="3"/>
      <c r="C123" s="3"/>
      <c r="D123" s="3"/>
      <c r="E123" s="3"/>
      <c r="F123" s="3"/>
      <c r="G123" s="60"/>
      <c r="H123" s="3"/>
      <c r="AG123" s="20"/>
      <c r="AH123" s="20"/>
      <c r="AI123" s="20"/>
      <c r="AJ123" s="20"/>
      <c r="BJ123" s="20"/>
    </row>
    <row r="124" spans="1:62" ht="13.5" customHeight="1">
      <c r="A124" s="28"/>
      <c r="B124" s="3"/>
      <c r="C124" s="3"/>
      <c r="D124" s="3"/>
      <c r="E124" s="3"/>
      <c r="F124" s="3"/>
      <c r="G124" s="60"/>
      <c r="H124" s="3"/>
      <c r="AG124" s="20"/>
      <c r="AH124" s="20"/>
      <c r="AI124" s="20"/>
      <c r="AJ124" s="20"/>
      <c r="BJ124" s="20"/>
    </row>
    <row r="125" spans="1:62" ht="13.5" customHeight="1">
      <c r="A125" s="28"/>
      <c r="B125" s="3"/>
      <c r="C125" s="3"/>
      <c r="D125" s="3"/>
      <c r="E125" s="3"/>
      <c r="F125" s="3"/>
      <c r="G125" s="60"/>
      <c r="H125" s="3"/>
      <c r="AG125" s="20"/>
      <c r="AH125" s="20"/>
      <c r="AI125" s="20"/>
      <c r="AJ125" s="20"/>
      <c r="BJ125" s="20"/>
    </row>
    <row r="126" spans="1:62" ht="13.5" customHeight="1">
      <c r="A126" s="28"/>
      <c r="B126" s="3"/>
      <c r="C126" s="3"/>
      <c r="D126" s="3"/>
      <c r="E126" s="3"/>
      <c r="F126" s="3"/>
      <c r="G126" s="60"/>
      <c r="H126" s="3"/>
      <c r="AG126" s="20"/>
      <c r="AH126" s="20"/>
      <c r="AI126" s="20"/>
      <c r="AJ126" s="20"/>
      <c r="BJ126" s="20"/>
    </row>
    <row r="127" spans="1:62" ht="13.5" customHeight="1">
      <c r="A127" s="28"/>
      <c r="B127" s="3"/>
      <c r="C127" s="3"/>
      <c r="D127" s="3"/>
      <c r="E127" s="3"/>
      <c r="F127" s="3"/>
      <c r="G127" s="60"/>
      <c r="H127" s="3"/>
      <c r="AG127" s="20"/>
      <c r="AH127" s="20"/>
      <c r="AI127" s="20"/>
      <c r="AJ127" s="20"/>
      <c r="BJ127" s="20"/>
    </row>
    <row r="128" spans="1:62" ht="13.5" customHeight="1">
      <c r="A128" s="42"/>
      <c r="AG128" s="20"/>
      <c r="AH128" s="20"/>
      <c r="AI128" s="20"/>
      <c r="AJ128" s="20"/>
      <c r="BJ128" s="20"/>
    </row>
  </sheetData>
  <printOptions gridLines="1"/>
  <pageMargins left="0" right="0" top="1" bottom="0.75" header="0.5" footer="0.5"/>
  <pageSetup horizontalDpi="600" verticalDpi="600" orientation="landscape" paperSize="5" scale="62" r:id="rId3"/>
  <headerFooter alignWithMargins="0">
    <oddHeader>&amp;L&amp;"Geneva,Bold"14440&amp;CHOTEL/MOTEL FINANCIAL PLAN
REVISED ATTACHMENT C
</oddHeader>
    <oddFooter>&amp;L&amp;D
Last Updated: 02/21/02&amp;C&amp;8&amp;F PAGE &amp;P of &amp;N</oddFooter>
  </headerFooter>
  <colBreaks count="2" manualBreakCount="2">
    <brk id="16" max="65535" man="1"/>
    <brk id="5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Kitnikone</dc:creator>
  <cp:keywords/>
  <dc:description/>
  <cp:lastModifiedBy>Network Manager</cp:lastModifiedBy>
  <cp:lastPrinted>2002-07-12T16:51:05Z</cp:lastPrinted>
  <dcterms:created xsi:type="dcterms:W3CDTF">2000-01-25T05:14:46Z</dcterms:created>
  <dcterms:modified xsi:type="dcterms:W3CDTF">2002-07-30T19:17:21Z</dcterms:modified>
  <cp:category/>
  <cp:version/>
  <cp:contentType/>
  <cp:contentStatus/>
</cp:coreProperties>
</file>