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150" activeTab="0"/>
  </bookViews>
  <sheets>
    <sheet name="fiscalnote" sheetId="1" r:id="rId1"/>
    <sheet name="costs" sheetId="2" r:id="rId2"/>
    <sheet name="HrsByYrAndCoachType" sheetId="3" r:id="rId3"/>
  </sheets>
  <externalReferences>
    <externalReference r:id="rId6"/>
  </externalReferences>
  <definedNames>
    <definedName name="FIVE">#REF!</definedName>
    <definedName name="FOUR">#REF!</definedName>
    <definedName name="ONE">#REF!</definedName>
    <definedName name="_xlnm.Print_Area" localSheetId="0">'fiscalnote'!$A$1:$F$45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<sst xmlns="http://schemas.openxmlformats.org/spreadsheetml/2006/main" count="70" uniqueCount="58">
  <si>
    <t>FISCAL NOTE</t>
  </si>
  <si>
    <t>Affected Agencies: 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</si>
  <si>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</si>
  <si>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</si>
  <si>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</si>
  <si>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</si>
  <si>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</si>
  <si>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</si>
  <si>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Fare Rev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</si>
  <si>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</si>
  <si>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</si>
  <si>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</si>
  <si>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</si>
  <si>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</si>
  <si>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</si>
  <si>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</si>
  <si>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</si>
  <si>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</si>
  <si>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</si>
  <si>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Net Hours</t>
  </si>
  <si>
    <t>Salaries and benefits in each year's marginal cost are as follows, by fleet type:</t>
  </si>
  <si>
    <t>Hybrid</t>
  </si>
  <si>
    <t>DART</t>
  </si>
  <si>
    <t>Route</t>
  </si>
  <si>
    <t>Summary</t>
  </si>
  <si>
    <t>Marginal</t>
  </si>
  <si>
    <t>AllKC</t>
  </si>
  <si>
    <t>FullDiesel</t>
  </si>
  <si>
    <t>60'Diesel</t>
  </si>
  <si>
    <t>Trolley</t>
  </si>
  <si>
    <t>Van</t>
  </si>
  <si>
    <t>30'</t>
  </si>
  <si>
    <t>40'Diesel</t>
  </si>
  <si>
    <t>ArticDiesel</t>
  </si>
  <si>
    <t>40'Trolley</t>
  </si>
  <si>
    <t>60'Trolley</t>
  </si>
  <si>
    <t>Fully Allocated</t>
  </si>
  <si>
    <t>Ordinance/Motion No.:  2010-XXXX</t>
  </si>
  <si>
    <t>Note Prepared By:  Mike Wold</t>
  </si>
  <si>
    <t>The 2010 marginal cost is based on the adopted 2010 budget.   Cost growth in 2011 and 2012 is assumed to be 5.1% and 6.56%, respectively, consistent with detailed costing done for Sound Transit billing.</t>
  </si>
  <si>
    <t>DayCode</t>
  </si>
  <si>
    <t>CoachType</t>
  </si>
  <si>
    <t>Fall10Hrs</t>
  </si>
  <si>
    <t>Spr11Hrs</t>
  </si>
  <si>
    <t>2010Hrs</t>
  </si>
  <si>
    <t>2011Hrs</t>
  </si>
  <si>
    <t>2012Hrs</t>
  </si>
  <si>
    <t>Fall11AddlHrs</t>
  </si>
  <si>
    <t>Hours changes in 2010, 2011, and 2012 are based on daily hours, operated for 64 weekdays,  12 Saturdays, and 15 Sunday/Holidays in 2010, 255 weekdays (230 starting with Feb11 service change and 63 starting with Oct11 service change),  52 Saturdays (48 starting with Feb11 service change), and 58 Sunday/holidays (52 starting with Feb11 service change) in 2011, and 255 weekdays, 52 Saturdays, and 59 Sunday/holidays in 2012.</t>
  </si>
  <si>
    <t>Title:  Urban Partnership Service Changes, Oct 2010, Feb 2011, and Oct 2011</t>
  </si>
  <si>
    <t>60' Hybrid</t>
  </si>
  <si>
    <t>40' Diesel/Hybrid</t>
  </si>
  <si>
    <t>Coach assignment assumptions are modified to roughly match the new vehicles being purchased for this increase in service.</t>
  </si>
  <si>
    <t>Fleet plans currently include 28 hybrid vehicles split 50/50 between 40' and 60' coaches.</t>
  </si>
  <si>
    <t>New fare paying ridership is estimated at 22 riders per added service hour.</t>
  </si>
  <si>
    <t xml:space="preserve"> &lt;== Enter "1" to include 522 and "0" to exclude 522</t>
  </si>
  <si>
    <t>Note Reviewed By:  Duncan Mitchell</t>
  </si>
  <si>
    <t>All 2010 and 2011 expenditures are included in the 2010-2011 Adopted Biennial Budget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</si>
</sst>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  <numFmt numFmtId="200" formatCode="_(&quot;$&quot;* #,##0.000_);_(&quot;$&quot;* \(#,##0.000\);_(&quot;$&quot;* &quot;-&quot;???_);_(@_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0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2" xfId="57" applyFont="1" applyBorder="1">
      <alignment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4" fillId="0" borderId="0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0" xfId="57" applyFont="1">
      <alignment/>
      <protection/>
    </xf>
    <xf numFmtId="0" fontId="0" fillId="0" borderId="0" xfId="57" applyAlignment="1">
      <alignment horizontal="left"/>
      <protection/>
    </xf>
    <xf numFmtId="0" fontId="6" fillId="0" borderId="0" xfId="57" applyFont="1">
      <alignment/>
      <protection/>
    </xf>
    <xf numFmtId="0" fontId="6" fillId="0" borderId="17" xfId="57" applyFont="1" applyBorder="1" applyAlignment="1">
      <alignment/>
      <protection/>
    </xf>
    <xf numFmtId="0" fontId="6" fillId="0" borderId="18" xfId="57" applyFont="1" applyBorder="1" applyAlignment="1">
      <alignment horizontal="center" wrapText="1"/>
      <protection/>
    </xf>
    <xf numFmtId="0" fontId="6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4" fillId="0" borderId="21" xfId="57" applyFont="1" applyBorder="1" applyAlignment="1">
      <alignment wrapText="1"/>
      <protection/>
    </xf>
    <xf numFmtId="190" fontId="4" fillId="0" borderId="22" xfId="57" applyNumberFormat="1" applyFont="1" applyBorder="1">
      <alignment/>
      <protection/>
    </xf>
    <xf numFmtId="0" fontId="4" fillId="0" borderId="22" xfId="57" applyFont="1" applyBorder="1" applyAlignment="1">
      <alignment horizontal="center" wrapText="1"/>
      <protection/>
    </xf>
    <xf numFmtId="191" fontId="4" fillId="0" borderId="23" xfId="57" applyNumberFormat="1" applyFont="1" applyFill="1" applyBorder="1">
      <alignment/>
      <protection/>
    </xf>
    <xf numFmtId="191" fontId="4" fillId="0" borderId="24" xfId="57" applyNumberFormat="1" applyFont="1" applyFill="1" applyBorder="1">
      <alignment/>
      <protection/>
    </xf>
    <xf numFmtId="191" fontId="0" fillId="0" borderId="0" xfId="57" applyNumberFormat="1">
      <alignment/>
      <protection/>
    </xf>
    <xf numFmtId="3" fontId="4" fillId="0" borderId="22" xfId="57" applyNumberFormat="1" applyFont="1" applyBorder="1" applyAlignment="1">
      <alignment horizontal="right"/>
      <protection/>
    </xf>
    <xf numFmtId="3" fontId="4" fillId="0" borderId="23" xfId="57" applyNumberFormat="1" applyFont="1" applyBorder="1" applyAlignment="1">
      <alignment horizontal="right"/>
      <protection/>
    </xf>
    <xf numFmtId="3" fontId="4" fillId="0" borderId="24" xfId="57" applyNumberFormat="1" applyFont="1" applyBorder="1" applyAlignment="1">
      <alignment horizontal="right"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191" fontId="6" fillId="0" borderId="26" xfId="57" applyNumberFormat="1" applyFont="1" applyBorder="1">
      <alignment/>
      <protection/>
    </xf>
    <xf numFmtId="191" fontId="6" fillId="0" borderId="27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190" fontId="4" fillId="0" borderId="22" xfId="57" applyNumberFormat="1" applyFont="1" applyBorder="1" applyAlignment="1">
      <alignment horizontal="center" wrapText="1"/>
      <protection/>
    </xf>
    <xf numFmtId="191" fontId="4" fillId="0" borderId="23" xfId="57" applyNumberFormat="1" applyFont="1" applyBorder="1">
      <alignment/>
      <protection/>
    </xf>
    <xf numFmtId="191" fontId="4" fillId="0" borderId="24" xfId="57" applyNumberFormat="1" applyFont="1" applyBorder="1">
      <alignment/>
      <protection/>
    </xf>
    <xf numFmtId="0" fontId="4" fillId="0" borderId="21" xfId="57" applyFont="1" applyBorder="1">
      <alignment/>
      <protection/>
    </xf>
    <xf numFmtId="190" fontId="4" fillId="0" borderId="22" xfId="57" applyNumberFormat="1" applyFont="1" applyBorder="1" applyAlignment="1">
      <alignment horizontal="right"/>
      <protection/>
    </xf>
    <xf numFmtId="190" fontId="4" fillId="0" borderId="22" xfId="57" applyNumberFormat="1" applyFont="1" applyBorder="1" applyAlignment="1">
      <alignment horizontal="center"/>
      <protection/>
    </xf>
    <xf numFmtId="3" fontId="4" fillId="0" borderId="23" xfId="57" applyNumberFormat="1" applyFont="1" applyBorder="1">
      <alignment/>
      <protection/>
    </xf>
    <xf numFmtId="173" fontId="0" fillId="0" borderId="22" xfId="42" applyNumberFormat="1" applyBorder="1" applyAlignment="1">
      <alignment/>
    </xf>
    <xf numFmtId="173" fontId="0" fillId="0" borderId="24" xfId="42" applyNumberFormat="1" applyBorder="1" applyAlignment="1">
      <alignment/>
    </xf>
    <xf numFmtId="191" fontId="6" fillId="0" borderId="28" xfId="44" applyNumberFormat="1" applyFont="1" applyBorder="1" applyAlignment="1">
      <alignment horizontal="right"/>
    </xf>
    <xf numFmtId="191" fontId="6" fillId="0" borderId="27" xfId="44" applyNumberFormat="1" applyFont="1" applyBorder="1" applyAlignment="1">
      <alignment horizontal="right"/>
    </xf>
    <xf numFmtId="3" fontId="7" fillId="0" borderId="0" xfId="57" applyNumberFormat="1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>
      <alignment/>
      <protection/>
    </xf>
    <xf numFmtId="0" fontId="4" fillId="0" borderId="32" xfId="57" applyFont="1" applyBorder="1">
      <alignment/>
      <protection/>
    </xf>
    <xf numFmtId="191" fontId="4" fillId="0" borderId="22" xfId="42" applyNumberFormat="1" applyFont="1" applyBorder="1" applyAlignment="1">
      <alignment/>
    </xf>
    <xf numFmtId="191" fontId="4" fillId="0" borderId="23" xfId="42" applyNumberFormat="1" applyFont="1" applyBorder="1" applyAlignment="1">
      <alignment/>
    </xf>
    <xf numFmtId="191" fontId="4" fillId="0" borderId="24" xfId="42" applyNumberFormat="1" applyFont="1" applyBorder="1" applyAlignment="1">
      <alignment/>
    </xf>
    <xf numFmtId="3" fontId="0" fillId="0" borderId="0" xfId="57" applyNumberFormat="1" applyBorder="1">
      <alignment/>
      <protection/>
    </xf>
    <xf numFmtId="191" fontId="4" fillId="0" borderId="22" xfId="57" applyNumberFormat="1" applyFont="1" applyBorder="1">
      <alignment/>
      <protection/>
    </xf>
    <xf numFmtId="191" fontId="0" fillId="0" borderId="0" xfId="57" applyNumberFormat="1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4" xfId="57" applyFont="1" applyBorder="1">
      <alignment/>
      <protection/>
    </xf>
    <xf numFmtId="3" fontId="0" fillId="0" borderId="0" xfId="57" applyNumberFormat="1">
      <alignment/>
      <protection/>
    </xf>
    <xf numFmtId="0" fontId="8" fillId="0" borderId="29" xfId="57" applyFont="1" applyBorder="1">
      <alignment/>
      <protection/>
    </xf>
    <xf numFmtId="0" fontId="4" fillId="0" borderId="29" xfId="57" applyFont="1" applyBorder="1">
      <alignment/>
      <protection/>
    </xf>
    <xf numFmtId="0" fontId="9" fillId="0" borderId="2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57" applyNumberFormat="1" applyFont="1" applyBorder="1" applyAlignment="1">
      <alignment horizontal="right" vertical="center" wrapText="1"/>
      <protection/>
    </xf>
    <xf numFmtId="0" fontId="11" fillId="0" borderId="35" xfId="0" applyFont="1" applyBorder="1" applyAlignment="1">
      <alignment horizontal="left" vertical="center" wrapText="1"/>
    </xf>
    <xf numFmtId="0" fontId="9" fillId="0" borderId="35" xfId="57" applyFont="1" applyBorder="1" applyAlignment="1">
      <alignment horizontal="left" vertical="center" wrapText="1"/>
      <protection/>
    </xf>
    <xf numFmtId="3" fontId="9" fillId="0" borderId="35" xfId="57" applyNumberFormat="1" applyFont="1" applyBorder="1" applyAlignment="1">
      <alignment horizontal="right" vertical="center" wrapText="1"/>
      <protection/>
    </xf>
    <xf numFmtId="192" fontId="1" fillId="0" borderId="0" xfId="57" applyNumberFormat="1" applyFont="1" applyBorder="1" applyAlignment="1">
      <alignment horizontal="right" vertical="center"/>
      <protection/>
    </xf>
    <xf numFmtId="192" fontId="1" fillId="0" borderId="36" xfId="57" applyNumberFormat="1" applyFont="1" applyBorder="1" applyAlignment="1">
      <alignment horizontal="right" vertical="center"/>
      <protection/>
    </xf>
    <xf numFmtId="0" fontId="1" fillId="0" borderId="36" xfId="0" applyFont="1" applyBorder="1" applyAlignment="1">
      <alignment horizontal="left" vertical="center" wrapText="1"/>
    </xf>
    <xf numFmtId="2" fontId="12" fillId="0" borderId="0" xfId="57" applyNumberFormat="1" applyFont="1">
      <alignment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44" fontId="15" fillId="0" borderId="0" xfId="44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11" fillId="0" borderId="0" xfId="0" applyFont="1" applyAlignment="1">
      <alignment/>
    </xf>
    <xf numFmtId="0" fontId="4" fillId="0" borderId="37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left" wrapText="1"/>
      <protection/>
    </xf>
    <xf numFmtId="0" fontId="4" fillId="0" borderId="13" xfId="57" applyFont="1" applyBorder="1" applyAlignment="1">
      <alignment/>
      <protection/>
    </xf>
    <xf numFmtId="0" fontId="0" fillId="0" borderId="0" xfId="0" applyAlignment="1">
      <alignment/>
    </xf>
    <xf numFmtId="0" fontId="10" fillId="0" borderId="36" xfId="57" applyFont="1" applyBorder="1" applyAlignment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10" fillId="0" borderId="0" xfId="57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3" xfId="57" applyFont="1" applyBorder="1" applyAlignment="1">
      <alignment horizontal="left"/>
      <protection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ttemj\Local%20Settings\Temporary%20Internet%20Files\OLKD1\2010co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budget"/>
    </sheetNames>
    <sheetDataSet>
      <sheetData sheetId="0">
        <row r="5">
          <cell r="B5">
            <v>89.00345565170527</v>
          </cell>
          <cell r="E5">
            <v>127.51875916673711</v>
          </cell>
        </row>
        <row r="6">
          <cell r="B6">
            <v>92.03679623328</v>
          </cell>
          <cell r="E6">
            <v>128.17725471893942</v>
          </cell>
        </row>
        <row r="7">
          <cell r="B7">
            <v>99.08734169395423</v>
          </cell>
          <cell r="E7">
            <v>135.67852624321532</v>
          </cell>
        </row>
        <row r="8">
          <cell r="B8">
            <v>77.91024359039487</v>
          </cell>
          <cell r="E8">
            <v>122.72786415384232</v>
          </cell>
        </row>
        <row r="9">
          <cell r="B9">
            <v>81.17615277790317</v>
          </cell>
          <cell r="E9">
            <v>116.91028345038072</v>
          </cell>
        </row>
        <row r="10">
          <cell r="B10">
            <v>82.13312276166</v>
          </cell>
          <cell r="E10">
            <v>117.65801490857957</v>
          </cell>
        </row>
        <row r="11">
          <cell r="B11">
            <v>84.31201364857824</v>
          </cell>
          <cell r="E11">
            <v>119.95864355515799</v>
          </cell>
        </row>
        <row r="12">
          <cell r="B12">
            <v>101.18483175523338</v>
          </cell>
          <cell r="E12">
            <v>138.01071797831963</v>
          </cell>
        </row>
        <row r="13">
          <cell r="B13">
            <v>97.3358056470298</v>
          </cell>
          <cell r="E13">
            <v>133.73099954557588</v>
          </cell>
        </row>
        <row r="14">
          <cell r="B14">
            <v>73.27523079235199</v>
          </cell>
          <cell r="E14">
            <v>117.68594561233853</v>
          </cell>
        </row>
        <row r="15">
          <cell r="B15">
            <v>86.51080137184115</v>
          </cell>
          <cell r="E15">
            <v>132.083461135982</v>
          </cell>
        </row>
        <row r="16">
          <cell r="B16">
            <v>74.58027859689817</v>
          </cell>
          <cell r="E16">
            <v>93.65824807198365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52">
      <selection activeCell="A45" sqref="A45:F45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1" t="s">
        <v>37</v>
      </c>
      <c r="B3" s="92"/>
      <c r="C3" s="92"/>
      <c r="D3" s="9"/>
      <c r="E3" s="9"/>
      <c r="F3" s="10"/>
      <c r="G3" s="8"/>
    </row>
    <row r="4" spans="1:7" ht="18" customHeight="1">
      <c r="A4" s="105" t="s">
        <v>49</v>
      </c>
      <c r="B4" s="96"/>
      <c r="C4" s="96"/>
      <c r="D4" s="96"/>
      <c r="E4" s="96"/>
      <c r="F4" s="106"/>
      <c r="G4" s="8"/>
    </row>
    <row r="5" spans="1:6" ht="18" customHeight="1">
      <c r="A5" s="95" t="s">
        <v>1</v>
      </c>
      <c r="B5" s="96"/>
      <c r="C5" s="12"/>
      <c r="D5" s="13"/>
      <c r="E5" s="14"/>
      <c r="F5" s="11"/>
    </row>
    <row r="6" spans="1:6" ht="18" customHeight="1">
      <c r="A6" s="15" t="s">
        <v>38</v>
      </c>
      <c r="B6" s="14"/>
      <c r="C6" s="14"/>
      <c r="D6" s="14"/>
      <c r="E6" s="14"/>
      <c r="F6" s="11"/>
    </row>
    <row r="7" spans="1:6" ht="18" customHeight="1" thickBot="1">
      <c r="A7" s="16" t="s">
        <v>56</v>
      </c>
      <c r="B7" s="17"/>
      <c r="C7" s="17"/>
      <c r="D7" s="17"/>
      <c r="E7" s="17"/>
      <c r="F7" s="18"/>
    </row>
    <row r="8" spans="1:7" ht="18" customHeight="1" thickTop="1">
      <c r="A8" s="19"/>
      <c r="B8" s="19"/>
      <c r="C8" s="14"/>
      <c r="D8" s="14"/>
      <c r="E8" s="14"/>
      <c r="F8" s="14"/>
      <c r="G8" s="20"/>
    </row>
    <row r="9" spans="1:6" ht="18" customHeight="1">
      <c r="A9" s="14" t="s">
        <v>2</v>
      </c>
      <c r="B9" s="19"/>
      <c r="C9" s="19"/>
      <c r="D9" s="19"/>
      <c r="E9" s="19"/>
      <c r="F9" s="19"/>
    </row>
    <row r="10" spans="1:7" ht="18" customHeight="1" thickBot="1">
      <c r="A10" s="21" t="s">
        <v>3</v>
      </c>
      <c r="B10" s="19"/>
      <c r="C10" s="19"/>
      <c r="D10" s="19"/>
      <c r="E10" s="19"/>
      <c r="F10" s="19"/>
      <c r="G10" s="20"/>
    </row>
    <row r="11" spans="1:6" ht="27">
      <c r="A11" s="22" t="s">
        <v>4</v>
      </c>
      <c r="B11" s="23" t="s">
        <v>5</v>
      </c>
      <c r="C11" s="23" t="s">
        <v>6</v>
      </c>
      <c r="D11" s="24">
        <v>2010</v>
      </c>
      <c r="E11" s="25">
        <f>D11+1</f>
        <v>2011</v>
      </c>
      <c r="F11" s="26">
        <f>E11+1</f>
        <v>2012</v>
      </c>
    </row>
    <row r="12" spans="1:6" ht="13.5">
      <c r="A12" s="27" t="s">
        <v>7</v>
      </c>
      <c r="B12" s="28">
        <v>4640</v>
      </c>
      <c r="C12" s="29" t="s">
        <v>8</v>
      </c>
      <c r="D12" s="30">
        <f>ROUND(SUM(D32:D34)*22*1.0712,2)</f>
        <v>97005.59</v>
      </c>
      <c r="E12" s="30">
        <f>ROUND(SUM(E32:E34)*22*1.1852,2)</f>
        <v>700408.36</v>
      </c>
      <c r="F12" s="31">
        <f>ROUND(SUM(F32:F34)*22*1.1852,2)</f>
        <v>730057.13</v>
      </c>
    </row>
    <row r="13" spans="1:7" ht="13.5">
      <c r="A13" s="27"/>
      <c r="B13" s="28"/>
      <c r="C13" s="29"/>
      <c r="D13" s="30"/>
      <c r="E13" s="30"/>
      <c r="F13" s="31"/>
      <c r="G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9</v>
      </c>
      <c r="B15" s="37"/>
      <c r="C15" s="37"/>
      <c r="D15" s="38">
        <f>SUM(D12:D14)</f>
        <v>97005.59</v>
      </c>
      <c r="E15" s="38">
        <f>SUM(E12:E14)</f>
        <v>700408.36</v>
      </c>
      <c r="F15" s="39">
        <f>SUM(F12:F14)</f>
        <v>730057.13</v>
      </c>
    </row>
    <row r="16" spans="1:6" ht="18" customHeight="1">
      <c r="A16" s="19"/>
      <c r="B16" s="19"/>
      <c r="C16" s="19"/>
      <c r="D16" s="40"/>
      <c r="E16" s="40"/>
      <c r="F16" s="40"/>
    </row>
    <row r="17" spans="1:6" ht="18" customHeight="1" thickBot="1">
      <c r="A17" s="41" t="s">
        <v>10</v>
      </c>
      <c r="B17" s="14"/>
      <c r="C17" s="19"/>
      <c r="D17" s="19"/>
      <c r="E17" s="19"/>
      <c r="F17" s="19"/>
    </row>
    <row r="18" spans="1:6" ht="27">
      <c r="A18" s="22" t="s">
        <v>4</v>
      </c>
      <c r="B18" s="23" t="s">
        <v>5</v>
      </c>
      <c r="C18" s="23" t="s">
        <v>11</v>
      </c>
      <c r="D18" s="24">
        <f>D11</f>
        <v>2010</v>
      </c>
      <c r="E18" s="25">
        <f>D18+1</f>
        <v>2011</v>
      </c>
      <c r="F18" s="26">
        <f>E18+1</f>
        <v>2012</v>
      </c>
    </row>
    <row r="19" spans="1:6" ht="13.5">
      <c r="A19" s="27" t="s">
        <v>7</v>
      </c>
      <c r="B19" s="28">
        <v>4640</v>
      </c>
      <c r="C19" s="42" t="s">
        <v>12</v>
      </c>
      <c r="D19" s="43">
        <f>ROUND((D32*D38)+(D33*D39)+(D34*D40),2)</f>
        <v>353885.62</v>
      </c>
      <c r="E19" s="43">
        <f>ROUND((E32*E38)+(E33*E39)+(E34*E40),2)</f>
        <v>2552100.31</v>
      </c>
      <c r="F19" s="44">
        <f>ROUND((F32*F38)+(F33*F39)+(F34*F40),2)</f>
        <v>2843472.46</v>
      </c>
    </row>
    <row r="20" spans="1:6" ht="18" customHeight="1">
      <c r="A20" s="45"/>
      <c r="B20" s="46"/>
      <c r="C20" s="47"/>
      <c r="D20" s="48"/>
      <c r="E20" s="49"/>
      <c r="F20" s="44"/>
    </row>
    <row r="21" spans="1:6" ht="18" customHeight="1">
      <c r="A21" s="45"/>
      <c r="B21" s="46"/>
      <c r="C21" s="47"/>
      <c r="D21" s="48"/>
      <c r="E21" s="49"/>
      <c r="F21" s="50"/>
    </row>
    <row r="22" spans="1:7" ht="18" customHeight="1" thickBot="1">
      <c r="A22" s="36" t="s">
        <v>9</v>
      </c>
      <c r="B22" s="37"/>
      <c r="C22" s="37"/>
      <c r="D22" s="51">
        <f>SUM(D19:D21)</f>
        <v>353885.62</v>
      </c>
      <c r="E22" s="51">
        <f>SUM(E19:E21)</f>
        <v>2552100.31</v>
      </c>
      <c r="F22" s="52">
        <f>SUM(F19:F21)</f>
        <v>2843472.46</v>
      </c>
      <c r="G22" s="53"/>
    </row>
    <row r="23" spans="1:6" ht="18" customHeight="1">
      <c r="A23" s="19"/>
      <c r="B23" s="19"/>
      <c r="C23" s="19"/>
      <c r="D23" s="40"/>
      <c r="E23" s="40"/>
      <c r="F23" s="40"/>
    </row>
    <row r="24" spans="1:6" ht="18" customHeight="1" thickBot="1">
      <c r="A24" s="41" t="s">
        <v>13</v>
      </c>
      <c r="B24" s="14"/>
      <c r="C24" s="14"/>
      <c r="D24" s="19"/>
      <c r="E24" s="19"/>
      <c r="F24" s="19"/>
    </row>
    <row r="25" spans="1:8" ht="18" customHeight="1">
      <c r="A25" s="54"/>
      <c r="B25" s="55"/>
      <c r="C25" s="56"/>
      <c r="D25" s="24">
        <f>D18</f>
        <v>2010</v>
      </c>
      <c r="E25" s="25">
        <f>D25+1</f>
        <v>2011</v>
      </c>
      <c r="F25" s="26">
        <f>E25+1</f>
        <v>2012</v>
      </c>
      <c r="G25" s="57"/>
      <c r="H25" s="57"/>
    </row>
    <row r="26" spans="1:8" ht="18" customHeight="1">
      <c r="A26" s="45" t="s">
        <v>14</v>
      </c>
      <c r="B26" s="58"/>
      <c r="C26" s="59"/>
      <c r="D26" s="43">
        <f>ROUND(D32*D41+D33*D42+D34*D43,2)</f>
        <v>265414.21</v>
      </c>
      <c r="E26" s="43">
        <f>ROUND(E32*E41+E33*E42+E34*E43,2)</f>
        <v>1914075.23</v>
      </c>
      <c r="F26" s="44">
        <f>ROUND(F32*F41+F33*F42+F34*F43,2)</f>
        <v>2132604.34</v>
      </c>
      <c r="G26" s="57"/>
      <c r="H26" s="57"/>
    </row>
    <row r="27" spans="1:8" ht="18" customHeight="1">
      <c r="A27" s="45" t="s">
        <v>15</v>
      </c>
      <c r="B27" s="60"/>
      <c r="C27" s="61"/>
      <c r="D27" s="62">
        <f>+D22-D26</f>
        <v>88471.40999999997</v>
      </c>
      <c r="E27" s="63">
        <f>+E22-E26</f>
        <v>638025.0800000001</v>
      </c>
      <c r="F27" s="64">
        <f>+F22-F26</f>
        <v>710868.1200000001</v>
      </c>
      <c r="G27" s="65"/>
      <c r="H27" s="65"/>
    </row>
    <row r="28" spans="1:8" ht="18" customHeight="1">
      <c r="A28" s="45" t="s">
        <v>16</v>
      </c>
      <c r="B28" s="60"/>
      <c r="C28" s="61"/>
      <c r="D28" s="43"/>
      <c r="E28" s="43"/>
      <c r="F28" s="44"/>
      <c r="G28" s="65"/>
      <c r="H28" s="65"/>
    </row>
    <row r="29" spans="1:6" ht="18" customHeight="1">
      <c r="A29" s="45" t="s">
        <v>17</v>
      </c>
      <c r="B29" s="60"/>
      <c r="C29" s="61"/>
      <c r="D29" s="66"/>
      <c r="E29" s="67"/>
      <c r="F29" s="44"/>
    </row>
    <row r="30" spans="1:8" ht="18" customHeight="1" thickBot="1">
      <c r="A30" s="36" t="s">
        <v>9</v>
      </c>
      <c r="B30" s="68"/>
      <c r="C30" s="69"/>
      <c r="D30" s="38">
        <f>SUM(D26:D29)</f>
        <v>353885.62</v>
      </c>
      <c r="E30" s="38">
        <f>SUM(E26:E29)</f>
        <v>2552100.31</v>
      </c>
      <c r="F30" s="39">
        <f>SUM(F26:F29)</f>
        <v>2843472.46</v>
      </c>
      <c r="G30" s="70"/>
      <c r="H30" s="70"/>
    </row>
    <row r="31" spans="1:8" ht="18" customHeight="1">
      <c r="A31" s="71" t="s">
        <v>18</v>
      </c>
      <c r="B31" s="72"/>
      <c r="C31" s="72"/>
      <c r="D31" s="73">
        <f>D25</f>
        <v>2010</v>
      </c>
      <c r="E31" s="73">
        <f>D31+1</f>
        <v>2011</v>
      </c>
      <c r="F31" s="73">
        <f>E31+1</f>
        <v>2012</v>
      </c>
      <c r="G31" s="70"/>
      <c r="H31" s="70"/>
    </row>
    <row r="32" spans="1:8" ht="19.5" customHeight="1">
      <c r="A32" s="97" t="s">
        <v>48</v>
      </c>
      <c r="B32" s="98"/>
      <c r="C32" s="74"/>
      <c r="D32" s="75"/>
      <c r="E32" s="75"/>
      <c r="F32" s="75"/>
      <c r="G32" s="70"/>
      <c r="H32" s="70"/>
    </row>
    <row r="33" spans="1:8" ht="19.5" customHeight="1">
      <c r="A33" s="99"/>
      <c r="B33" s="100"/>
      <c r="C33" s="74" t="str">
        <f>C39</f>
        <v>60' Hybrid</v>
      </c>
      <c r="D33" s="75">
        <f>HrsByYrAndCoachType!B14</f>
        <v>524.7999999999997</v>
      </c>
      <c r="E33" s="75">
        <f>HrsByYrAndCoachType!C$14</f>
        <v>12552.166666666657</v>
      </c>
      <c r="F33" s="75">
        <f>HrsByYrAndCoachType!D$14</f>
        <v>13689.249999999993</v>
      </c>
      <c r="G33" s="70"/>
      <c r="H33" s="70"/>
    </row>
    <row r="34" spans="1:8" ht="19.5" customHeight="1">
      <c r="A34" s="99"/>
      <c r="B34" s="100"/>
      <c r="C34" s="74" t="s">
        <v>51</v>
      </c>
      <c r="D34" s="75">
        <f>HrsByYrAndCoachType!B15</f>
        <v>3591.4666666666667</v>
      </c>
      <c r="E34" s="75">
        <f>HrsByYrAndCoachType!C15</f>
        <v>14309.75</v>
      </c>
      <c r="F34" s="75">
        <f>HrsByYrAndCoachType!D15</f>
        <v>14309.75</v>
      </c>
      <c r="G34" s="70"/>
      <c r="H34" s="70"/>
    </row>
    <row r="35" spans="1:8" ht="19.5" customHeight="1">
      <c r="A35" s="100"/>
      <c r="B35" s="100"/>
      <c r="C35" s="74"/>
      <c r="D35" s="75"/>
      <c r="E35" s="75"/>
      <c r="F35" s="75"/>
      <c r="G35" s="70"/>
      <c r="H35" s="70"/>
    </row>
    <row r="36" spans="1:8" ht="19.5" customHeight="1">
      <c r="A36" s="100"/>
      <c r="B36" s="100"/>
      <c r="C36" s="74"/>
      <c r="D36" s="75"/>
      <c r="E36" s="75"/>
      <c r="F36" s="75"/>
      <c r="G36" s="70"/>
      <c r="H36" s="70"/>
    </row>
    <row r="37" spans="1:6" ht="16.5" customHeight="1">
      <c r="A37" s="76" t="s">
        <v>19</v>
      </c>
      <c r="B37" s="76"/>
      <c r="C37" s="77"/>
      <c r="D37" s="78">
        <f>SUM(D32:D34)</f>
        <v>4116.266666666666</v>
      </c>
      <c r="E37" s="78">
        <f>SUM(E32:E34)</f>
        <v>26861.916666666657</v>
      </c>
      <c r="F37" s="78">
        <f>SUM(F32:F34)</f>
        <v>27998.999999999993</v>
      </c>
    </row>
    <row r="38" spans="1:6" ht="16.5" customHeight="1">
      <c r="A38" s="101" t="s">
        <v>39</v>
      </c>
      <c r="B38" s="101"/>
      <c r="C38" s="81"/>
      <c r="D38" s="79"/>
      <c r="E38" s="79"/>
      <c r="F38" s="79"/>
    </row>
    <row r="39" spans="1:6" ht="16.5" customHeight="1">
      <c r="A39" s="102"/>
      <c r="B39" s="102"/>
      <c r="C39" s="74" t="s">
        <v>50</v>
      </c>
      <c r="D39" s="79">
        <f>costs!B11</f>
        <v>97.3358056470298</v>
      </c>
      <c r="E39" s="79">
        <f>D39*1.051</f>
        <v>102.29993173502831</v>
      </c>
      <c r="F39" s="79">
        <f>E39*1.0656</f>
        <v>109.01080725684618</v>
      </c>
    </row>
    <row r="40" spans="1:6" ht="16.5" customHeight="1">
      <c r="A40" s="102"/>
      <c r="B40" s="102"/>
      <c r="C40" s="74" t="s">
        <v>51</v>
      </c>
      <c r="D40" s="79">
        <f>costs!B9</f>
        <v>84.31201364857824</v>
      </c>
      <c r="E40" s="79">
        <f>D40*1.051</f>
        <v>88.61192634465573</v>
      </c>
      <c r="F40" s="79">
        <f>E40*1.0656</f>
        <v>94.42486871286515</v>
      </c>
    </row>
    <row r="41" spans="1:6" ht="12.75">
      <c r="A41" s="103" t="s">
        <v>20</v>
      </c>
      <c r="B41" s="98"/>
      <c r="C41" s="81"/>
      <c r="D41" s="80"/>
      <c r="E41" s="80"/>
      <c r="F41" s="80"/>
    </row>
    <row r="42" spans="1:6" ht="12.75">
      <c r="A42" s="104"/>
      <c r="B42" s="100"/>
      <c r="C42" s="74" t="str">
        <f>C39</f>
        <v>60' Hybrid</v>
      </c>
      <c r="D42" s="79">
        <f aca="true" t="shared" si="0" ref="D42:F43">0.75*D39</f>
        <v>73.00185423527235</v>
      </c>
      <c r="E42" s="79">
        <f t="shared" si="0"/>
        <v>76.72494880127124</v>
      </c>
      <c r="F42" s="79">
        <f t="shared" si="0"/>
        <v>81.75810544263463</v>
      </c>
    </row>
    <row r="43" spans="1:6" ht="12.75">
      <c r="A43" s="104"/>
      <c r="B43" s="100"/>
      <c r="C43" s="74" t="s">
        <v>51</v>
      </c>
      <c r="D43" s="79">
        <f t="shared" si="0"/>
        <v>63.23401023643368</v>
      </c>
      <c r="E43" s="79">
        <f t="shared" si="0"/>
        <v>66.4589447584918</v>
      </c>
      <c r="F43" s="79">
        <f t="shared" si="0"/>
        <v>70.81865153464886</v>
      </c>
    </row>
    <row r="44" spans="1:6" ht="12.75" customHeight="1">
      <c r="A44" s="94" t="s">
        <v>54</v>
      </c>
      <c r="B44" s="94"/>
      <c r="C44" s="94"/>
      <c r="D44" s="94"/>
      <c r="E44" s="94"/>
      <c r="F44" s="94"/>
    </row>
    <row r="45" spans="1:6" ht="15" customHeight="1">
      <c r="A45" s="94" t="s">
        <v>57</v>
      </c>
      <c r="B45" s="94"/>
      <c r="C45" s="94"/>
      <c r="D45" s="94"/>
      <c r="E45" s="94"/>
      <c r="F45" s="94"/>
    </row>
    <row r="46" spans="1:6" ht="12.75">
      <c r="A46" s="93"/>
      <c r="B46" s="93"/>
      <c r="C46" s="93"/>
      <c r="D46" s="93"/>
      <c r="E46" s="93"/>
      <c r="F46" s="93"/>
    </row>
  </sheetData>
  <sheetProtection/>
  <mergeCells count="9">
    <mergeCell ref="A3:C3"/>
    <mergeCell ref="A46:F46"/>
    <mergeCell ref="A45:F45"/>
    <mergeCell ref="A44:F44"/>
    <mergeCell ref="A5:B5"/>
    <mergeCell ref="A32:B36"/>
    <mergeCell ref="A38:B40"/>
    <mergeCell ref="A41:B43"/>
    <mergeCell ref="A4:F4"/>
  </mergeCells>
  <printOptions horizontalCentered="1"/>
  <pageMargins left="0.5" right="0.5" top="0.4" bottom="0.45" header="0.23" footer="0.17"/>
  <pageSetup fitToHeight="1" fitToWidth="1" horizontalDpi="600" verticalDpi="600" orientation="portrait" scale="9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3" sqref="B3:C14"/>
    </sheetView>
  </sheetViews>
  <sheetFormatPr defaultColWidth="9.140625" defaultRowHeight="12.75"/>
  <sheetData>
    <row r="1" spans="1:3" ht="13.5">
      <c r="A1" s="82"/>
      <c r="B1" s="83" t="s">
        <v>24</v>
      </c>
      <c r="C1" s="83" t="s">
        <v>24</v>
      </c>
    </row>
    <row r="2" spans="1:3" ht="13.5">
      <c r="A2" s="82"/>
      <c r="B2" s="83" t="s">
        <v>25</v>
      </c>
      <c r="C2" s="83" t="s">
        <v>36</v>
      </c>
    </row>
    <row r="3" spans="1:3" ht="13.5">
      <c r="A3" s="84" t="s">
        <v>26</v>
      </c>
      <c r="B3" s="85">
        <f>'[1]2010budget'!$B5</f>
        <v>89.00345565170527</v>
      </c>
      <c r="C3" s="85">
        <f>'[1]2010budget'!$E5</f>
        <v>127.51875916673711</v>
      </c>
    </row>
    <row r="4" spans="1:3" ht="13.5">
      <c r="A4" s="84" t="s">
        <v>27</v>
      </c>
      <c r="B4" s="85">
        <f>'[1]2010budget'!$B6</f>
        <v>92.03679623328</v>
      </c>
      <c r="C4" s="85">
        <f>'[1]2010budget'!$E6</f>
        <v>128.17725471893942</v>
      </c>
    </row>
    <row r="5" spans="1:3" ht="13.5">
      <c r="A5" s="84" t="s">
        <v>28</v>
      </c>
      <c r="B5" s="85">
        <f>'[1]2010budget'!$B7</f>
        <v>99.08734169395423</v>
      </c>
      <c r="C5" s="85">
        <f>'[1]2010budget'!$E7</f>
        <v>135.67852624321532</v>
      </c>
    </row>
    <row r="6" spans="1:3" ht="13.5">
      <c r="A6" s="84" t="s">
        <v>29</v>
      </c>
      <c r="B6" s="85">
        <f>'[1]2010budget'!$B8</f>
        <v>77.91024359039487</v>
      </c>
      <c r="C6" s="85">
        <f>'[1]2010budget'!$E8</f>
        <v>122.72786415384232</v>
      </c>
    </row>
    <row r="7" spans="1:3" ht="13.5">
      <c r="A7" s="84" t="s">
        <v>30</v>
      </c>
      <c r="B7" s="85">
        <f>'[1]2010budget'!$B9</f>
        <v>81.17615277790317</v>
      </c>
      <c r="C7" s="85">
        <f>'[1]2010budget'!$E9</f>
        <v>116.91028345038072</v>
      </c>
    </row>
    <row r="8" spans="1:3" ht="13.5">
      <c r="A8" s="84" t="s">
        <v>31</v>
      </c>
      <c r="B8" s="85">
        <f>'[1]2010budget'!$B10</f>
        <v>82.13312276166</v>
      </c>
      <c r="C8" s="85">
        <f>'[1]2010budget'!$E10</f>
        <v>117.65801490857957</v>
      </c>
    </row>
    <row r="9" spans="1:3" ht="13.5">
      <c r="A9" s="84" t="s">
        <v>32</v>
      </c>
      <c r="B9" s="85">
        <f>'[1]2010budget'!$B11</f>
        <v>84.31201364857824</v>
      </c>
      <c r="C9" s="85">
        <f>'[1]2010budget'!$E11</f>
        <v>119.95864355515799</v>
      </c>
    </row>
    <row r="10" spans="1:3" ht="13.5">
      <c r="A10" s="84" t="s">
        <v>33</v>
      </c>
      <c r="B10" s="85">
        <f>'[1]2010budget'!$B12</f>
        <v>101.18483175523338</v>
      </c>
      <c r="C10" s="85">
        <f>'[1]2010budget'!$E12</f>
        <v>138.01071797831963</v>
      </c>
    </row>
    <row r="11" spans="1:3" ht="13.5">
      <c r="A11" s="84" t="s">
        <v>21</v>
      </c>
      <c r="B11" s="85">
        <f>'[1]2010budget'!$B13</f>
        <v>97.3358056470298</v>
      </c>
      <c r="C11" s="85">
        <f>'[1]2010budget'!$E13</f>
        <v>133.73099954557588</v>
      </c>
    </row>
    <row r="12" spans="1:3" ht="13.5">
      <c r="A12" s="84" t="s">
        <v>34</v>
      </c>
      <c r="B12" s="85">
        <f>'[1]2010budget'!$B14</f>
        <v>73.27523079235199</v>
      </c>
      <c r="C12" s="85">
        <f>'[1]2010budget'!$E14</f>
        <v>117.68594561233853</v>
      </c>
    </row>
    <row r="13" spans="1:3" ht="13.5">
      <c r="A13" s="84" t="s">
        <v>35</v>
      </c>
      <c r="B13" s="85">
        <f>'[1]2010budget'!$B15</f>
        <v>86.51080137184115</v>
      </c>
      <c r="C13" s="85">
        <f>'[1]2010budget'!$E15</f>
        <v>132.083461135982</v>
      </c>
    </row>
    <row r="14" spans="1:3" ht="13.5">
      <c r="A14" s="84" t="s">
        <v>22</v>
      </c>
      <c r="B14" s="85">
        <f>'[1]2010budget'!$B16</f>
        <v>74.58027859689817</v>
      </c>
      <c r="C14" s="85">
        <f>'[1]2010budget'!$E16</f>
        <v>93.65824807198365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&amp;CCosts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0.28125" style="0" bestFit="1" customWidth="1"/>
  </cols>
  <sheetData>
    <row r="1" spans="1:9" ht="12.75">
      <c r="A1" t="s">
        <v>23</v>
      </c>
      <c r="B1" t="s">
        <v>40</v>
      </c>
      <c r="C1" t="s">
        <v>41</v>
      </c>
      <c r="D1" t="s">
        <v>42</v>
      </c>
      <c r="E1" t="s">
        <v>43</v>
      </c>
      <c r="F1" t="s">
        <v>47</v>
      </c>
      <c r="G1" t="s">
        <v>44</v>
      </c>
      <c r="H1" t="s">
        <v>45</v>
      </c>
      <c r="I1" t="s">
        <v>46</v>
      </c>
    </row>
    <row r="2" spans="1:9" ht="12.75">
      <c r="A2">
        <v>271</v>
      </c>
      <c r="B2">
        <v>0</v>
      </c>
      <c r="C2">
        <v>26</v>
      </c>
      <c r="D2" s="86">
        <v>2.5166666666666666</v>
      </c>
      <c r="E2" s="86">
        <f>D2</f>
        <v>2.5166666666666666</v>
      </c>
      <c r="F2" s="86"/>
      <c r="G2" s="88">
        <f aca="true" t="shared" si="0" ref="G2:G10">64*D2</f>
        <v>161.06666666666666</v>
      </c>
      <c r="H2" s="88">
        <f aca="true" t="shared" si="1" ref="H2:H8">25*D2+230*E2</f>
        <v>641.75</v>
      </c>
      <c r="I2" s="88">
        <f aca="true" t="shared" si="2" ref="I2:I8">255*E2</f>
        <v>641.75</v>
      </c>
    </row>
    <row r="3" spans="1:9" ht="12.75">
      <c r="A3">
        <v>311</v>
      </c>
      <c r="B3">
        <v>0</v>
      </c>
      <c r="C3">
        <v>26</v>
      </c>
      <c r="D3" s="86">
        <v>0</v>
      </c>
      <c r="E3" s="86">
        <v>5.333333333333333</v>
      </c>
      <c r="F3" s="86"/>
      <c r="G3" s="88">
        <f t="shared" si="0"/>
        <v>0</v>
      </c>
      <c r="H3" s="88">
        <f t="shared" si="1"/>
        <v>1226.6666666666665</v>
      </c>
      <c r="I3" s="88">
        <f t="shared" si="2"/>
        <v>1360</v>
      </c>
    </row>
    <row r="4" spans="1:9" ht="12.75">
      <c r="A4">
        <v>255</v>
      </c>
      <c r="B4">
        <v>0</v>
      </c>
      <c r="C4">
        <v>26</v>
      </c>
      <c r="D4" s="86">
        <v>3.9166666666666665</v>
      </c>
      <c r="E4" s="86">
        <f>D4+33.3333333333333</f>
        <v>37.249999999999964</v>
      </c>
      <c r="F4" s="86"/>
      <c r="G4" s="88">
        <f t="shared" si="0"/>
        <v>250.66666666666666</v>
      </c>
      <c r="H4" s="88">
        <f t="shared" si="1"/>
        <v>8665.416666666659</v>
      </c>
      <c r="I4" s="88">
        <f t="shared" si="2"/>
        <v>9498.74999999999</v>
      </c>
    </row>
    <row r="5" spans="1:9" ht="12.75">
      <c r="A5">
        <v>271</v>
      </c>
      <c r="B5">
        <v>0</v>
      </c>
      <c r="C5">
        <v>26</v>
      </c>
      <c r="D5" s="86">
        <v>1.7666666666666666</v>
      </c>
      <c r="E5" s="86">
        <f>D5</f>
        <v>1.7666666666666666</v>
      </c>
      <c r="F5" s="86"/>
      <c r="G5" s="88">
        <f t="shared" si="0"/>
        <v>113.06666666666666</v>
      </c>
      <c r="H5" s="88">
        <f t="shared" si="1"/>
        <v>450.5</v>
      </c>
      <c r="I5" s="88">
        <f t="shared" si="2"/>
        <v>450.5</v>
      </c>
    </row>
    <row r="6" spans="1:9" ht="12.75">
      <c r="A6">
        <v>311</v>
      </c>
      <c r="B6">
        <v>0</v>
      </c>
      <c r="C6">
        <v>26</v>
      </c>
      <c r="D6" s="86">
        <v>0</v>
      </c>
      <c r="E6" s="86">
        <v>0.6</v>
      </c>
      <c r="F6" s="86"/>
      <c r="G6" s="88">
        <f t="shared" si="0"/>
        <v>0</v>
      </c>
      <c r="H6" s="88">
        <f t="shared" si="1"/>
        <v>138</v>
      </c>
      <c r="I6" s="88">
        <f t="shared" si="2"/>
        <v>153</v>
      </c>
    </row>
    <row r="7" spans="1:9" ht="12.75">
      <c r="A7">
        <v>265</v>
      </c>
      <c r="B7">
        <v>0</v>
      </c>
      <c r="C7">
        <v>32</v>
      </c>
      <c r="D7" s="86">
        <v>6.666666666666667</v>
      </c>
      <c r="E7" s="86">
        <f>D7</f>
        <v>6.666666666666667</v>
      </c>
      <c r="F7" s="86"/>
      <c r="G7" s="88">
        <f t="shared" si="0"/>
        <v>426.6666666666667</v>
      </c>
      <c r="H7" s="88">
        <f t="shared" si="1"/>
        <v>1700.0000000000002</v>
      </c>
      <c r="I7" s="88">
        <f t="shared" si="2"/>
        <v>1700</v>
      </c>
    </row>
    <row r="8" spans="1:9" ht="12.75">
      <c r="A8">
        <v>271</v>
      </c>
      <c r="B8">
        <v>0</v>
      </c>
      <c r="C8">
        <v>32</v>
      </c>
      <c r="D8" s="86">
        <v>49.45</v>
      </c>
      <c r="E8" s="86">
        <f>D8</f>
        <v>49.45</v>
      </c>
      <c r="F8" s="86"/>
      <c r="G8" s="88">
        <f t="shared" si="0"/>
        <v>3164.8</v>
      </c>
      <c r="H8" s="88">
        <f t="shared" si="1"/>
        <v>12609.75</v>
      </c>
      <c r="I8" s="88">
        <f t="shared" si="2"/>
        <v>12609.75</v>
      </c>
    </row>
    <row r="9" spans="1:11" ht="12.75">
      <c r="A9">
        <v>309</v>
      </c>
      <c r="B9">
        <v>0</v>
      </c>
      <c r="C9">
        <v>26</v>
      </c>
      <c r="D9" s="86">
        <v>0</v>
      </c>
      <c r="E9" s="86">
        <v>0</v>
      </c>
      <c r="F9" s="86">
        <f>ROUND(60*5000/255,0)/60</f>
        <v>19.6</v>
      </c>
      <c r="G9" s="88">
        <f t="shared" si="0"/>
        <v>0</v>
      </c>
      <c r="H9" s="88">
        <f>(F9*63)*J9</f>
        <v>0</v>
      </c>
      <c r="I9" s="88">
        <f>(255*F9)*J9</f>
        <v>0</v>
      </c>
      <c r="J9" s="90">
        <v>0</v>
      </c>
      <c r="K9" s="90" t="s">
        <v>55</v>
      </c>
    </row>
    <row r="10" spans="1:13" ht="12.75">
      <c r="A10">
        <v>311</v>
      </c>
      <c r="B10">
        <v>0</v>
      </c>
      <c r="C10">
        <v>26</v>
      </c>
      <c r="D10" s="86">
        <v>0</v>
      </c>
      <c r="E10" s="86">
        <v>6.216666666666667</v>
      </c>
      <c r="F10" s="86"/>
      <c r="G10" s="88">
        <f t="shared" si="0"/>
        <v>0</v>
      </c>
      <c r="H10" s="88">
        <f>(25*D10+230*E10)</f>
        <v>1429.8333333333333</v>
      </c>
      <c r="I10" s="88">
        <f>(255*E10)</f>
        <v>1585.25</v>
      </c>
      <c r="L10" s="90"/>
      <c r="M10" s="90"/>
    </row>
    <row r="11" spans="7:9" ht="12.75">
      <c r="G11" s="88">
        <f>SUM(G2:G10)</f>
        <v>4116.266666666666</v>
      </c>
      <c r="H11" s="88">
        <f>SUM(H2:H10)</f>
        <v>26861.916666666657</v>
      </c>
      <c r="I11" s="88">
        <f>SUM(I2:I10)</f>
        <v>27998.999999999993</v>
      </c>
    </row>
    <row r="12" spans="1:7" ht="12.75">
      <c r="A12" s="87" t="s">
        <v>41</v>
      </c>
      <c r="B12" t="s">
        <v>44</v>
      </c>
      <c r="C12" s="87" t="s">
        <v>45</v>
      </c>
      <c r="D12" t="s">
        <v>46</v>
      </c>
      <c r="G12" s="88"/>
    </row>
    <row r="13" spans="1:4" ht="12.75">
      <c r="A13">
        <v>23</v>
      </c>
      <c r="B13" s="88">
        <v>0</v>
      </c>
      <c r="C13" s="88">
        <v>0</v>
      </c>
      <c r="D13" s="88">
        <v>0</v>
      </c>
    </row>
    <row r="14" spans="1:4" ht="12.75">
      <c r="A14" s="89">
        <v>26</v>
      </c>
      <c r="B14" s="88">
        <f>+G11-B15</f>
        <v>524.7999999999997</v>
      </c>
      <c r="C14" s="88">
        <f>+H11-C15</f>
        <v>12552.166666666657</v>
      </c>
      <c r="D14" s="88">
        <f>+I11-D15</f>
        <v>13689.249999999993</v>
      </c>
    </row>
    <row r="15" spans="1:4" ht="12.75">
      <c r="A15">
        <v>32</v>
      </c>
      <c r="B15" s="88">
        <f>+G7+G8</f>
        <v>3591.4666666666667</v>
      </c>
      <c r="C15" s="88">
        <f>+H7+H8</f>
        <v>14309.75</v>
      </c>
      <c r="D15" s="88">
        <f>+I7+I8</f>
        <v>14309.75</v>
      </c>
    </row>
    <row r="16" ht="12.75">
      <c r="B16" s="88"/>
    </row>
    <row r="17" ht="12.75">
      <c r="A17" t="s">
        <v>52</v>
      </c>
    </row>
    <row r="18" ht="12.75">
      <c r="A18" t="s">
        <v>53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&amp;CHours by Year and Coach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WoldM</dc:creator>
  <cp:keywords/>
  <dc:description/>
  <cp:lastModifiedBy>Masuo, Janet</cp:lastModifiedBy>
  <cp:lastPrinted>2010-04-12T22:11:59Z</cp:lastPrinted>
  <dcterms:created xsi:type="dcterms:W3CDTF">2008-03-11T23:48:05Z</dcterms:created>
  <dcterms:modified xsi:type="dcterms:W3CDTF">2010-05-03T15:36:23Z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