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150" activeTab="0"/>
  </bookViews>
  <sheets>
    <sheet name="fiscal note 2008 Sep Svc Chng" sheetId="1" r:id="rId1"/>
    <sheet name="Assumptions" sheetId="2" r:id="rId2"/>
    <sheet name="Sheet2" sheetId="3" r:id="rId3"/>
    <sheet name="Sheet3" sheetId="4" r:id="rId4"/>
  </sheets>
  <externalReferences>
    <externalReference r:id="rId7"/>
  </externalReferences>
  <definedNames>
    <definedName name="FIVE">#REF!</definedName>
    <definedName name="FOUR">#REF!</definedName>
    <definedName name="ONE">#REF!</definedName>
    <definedName name="_xlnm.Print_Area" localSheetId="0">'fiscal note 2008 Sep Svc Chng'!$A$1:$F$43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<sst xmlns="http://schemas.openxmlformats.org/spreadsheetml/2006/main" count="65" uniqueCount="40">
  <si>
    <t>Artic Diesel</t>
  </si>
  <si>
    <t>Standard Diesel</t>
  </si>
  <si>
    <t>van</t>
  </si>
  <si>
    <t>FISCAL NOTE</t>
  </si>
  <si>
    <t>Ordinance/Motion No.:  2008-XXXX</t>
  </si>
  <si>
    <t>Title:  2008 September Service Change</t>
  </si>
  <si>
    <t>Affected Agencies:  Transit</t>
  </si>
  <si>
    <t>Note Prepared By:  Mike Wold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</si>
  <si>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</si>
  <si>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</si>
  <si>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</si>
  <si>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</si>
  <si>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</si>
  <si>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</si>
  <si>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Fare Rev</t>
  </si>
  <si>
    <t>TOTAL</t>
  </si>
  <si>
    <t>Expenditures from:</t>
  </si>
  <si>
    <t>Department</t>
  </si>
  <si>
    <t>Transit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</si>
  <si>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</si>
  <si>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</si>
  <si>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</si>
  <si>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</si>
  <si>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</si>
  <si>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</si>
  <si>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Van</t>
  </si>
  <si>
    <t>Net Hours</t>
  </si>
  <si>
    <t>Salaries and benefits in each year's marginal cost are as follows, by fleet type:</t>
  </si>
  <si>
    <t>New fare paying ridership is estimated at 22 riders per added service hour, with an average fare of $0.8382 per ride.</t>
  </si>
  <si>
    <t>214/215</t>
  </si>
  <si>
    <t>Standard</t>
  </si>
  <si>
    <t>Artic</t>
  </si>
  <si>
    <t>The 2008 marginal cost is based on the adopted 2008 budget.   Cost growth in 2009 and 2010 is assumed to be 5.23% and 4.76%, respectively, consistent with detailed costing done for Sound Transit billing.</t>
  </si>
  <si>
    <t>Route</t>
  </si>
  <si>
    <t>Hours</t>
  </si>
  <si>
    <t>BusType</t>
  </si>
  <si>
    <t>Note Reviewed By:  Darcia Thurman</t>
  </si>
  <si>
    <t>Partnerships</t>
  </si>
  <si>
    <t>Hours changes in 2008, 2009, and 2010 are based on the same daily hours, operated for 71 days in 2008, 254 days in 2009, and 253 days in 2010.</t>
  </si>
  <si>
    <t>The standard diesel hours include hours on Routes 244 (formerly 644) and 269 that were previously approved in the Transit Now Service Partnership Ordinance 16041.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</si>
</sst>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  <numFmt numFmtId="196" formatCode="&quot;$&quot;#,##0.00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Univers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1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0" fontId="0" fillId="0" borderId="0" xfId="21" applyAlignment="1">
      <alignment horizontal="centerContinuous"/>
      <protection/>
    </xf>
    <xf numFmtId="0" fontId="4" fillId="0" borderId="1" xfId="21" applyFont="1" applyBorder="1" applyAlignment="1">
      <alignment horizontal="centerContinuous"/>
      <protection/>
    </xf>
    <xf numFmtId="0" fontId="4" fillId="0" borderId="2" xfId="21" applyFont="1" applyBorder="1" applyAlignment="1">
      <alignment horizontal="centerContinuous"/>
      <protection/>
    </xf>
    <xf numFmtId="0" fontId="4" fillId="0" borderId="0" xfId="21" applyFont="1" applyBorder="1" applyAlignment="1">
      <alignment horizontal="centerContinuous"/>
      <protection/>
    </xf>
    <xf numFmtId="0" fontId="4" fillId="0" borderId="3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4" fillId="0" borderId="0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 horizontal="left"/>
      <protection/>
    </xf>
    <xf numFmtId="0" fontId="6" fillId="0" borderId="0" xfId="21" applyFont="1">
      <alignment/>
      <protection/>
    </xf>
    <xf numFmtId="0" fontId="6" fillId="0" borderId="8" xfId="21" applyFont="1" applyBorder="1" applyAlignment="1">
      <alignment/>
      <protection/>
    </xf>
    <xf numFmtId="0" fontId="6" fillId="0" borderId="9" xfId="21" applyFont="1" applyBorder="1" applyAlignment="1">
      <alignment horizontal="center" wrapText="1"/>
      <protection/>
    </xf>
    <xf numFmtId="0" fontId="6" fillId="0" borderId="9" xfId="21" applyFont="1" applyBorder="1" applyAlignment="1">
      <alignment horizontal="center"/>
      <protection/>
    </xf>
    <xf numFmtId="0" fontId="6" fillId="0" borderId="10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4" fillId="0" borderId="12" xfId="21" applyFont="1" applyBorder="1" applyAlignment="1">
      <alignment wrapText="1"/>
      <protection/>
    </xf>
    <xf numFmtId="190" fontId="4" fillId="0" borderId="13" xfId="21" applyNumberFormat="1" applyFont="1" applyBorder="1">
      <alignment/>
      <protection/>
    </xf>
    <xf numFmtId="0" fontId="4" fillId="0" borderId="13" xfId="21" applyFont="1" applyBorder="1" applyAlignment="1">
      <alignment horizontal="center" wrapText="1"/>
      <protection/>
    </xf>
    <xf numFmtId="191" fontId="4" fillId="0" borderId="14" xfId="21" applyNumberFormat="1" applyFont="1" applyFill="1" applyBorder="1">
      <alignment/>
      <protection/>
    </xf>
    <xf numFmtId="191" fontId="4" fillId="0" borderId="15" xfId="21" applyNumberFormat="1" applyFont="1" applyFill="1" applyBorder="1">
      <alignment/>
      <protection/>
    </xf>
    <xf numFmtId="191" fontId="0" fillId="0" borderId="0" xfId="21" applyNumberFormat="1">
      <alignment/>
      <protection/>
    </xf>
    <xf numFmtId="3" fontId="4" fillId="0" borderId="13" xfId="21" applyNumberFormat="1" applyFont="1" applyBorder="1" applyAlignment="1">
      <alignment horizontal="right"/>
      <protection/>
    </xf>
    <xf numFmtId="3" fontId="4" fillId="0" borderId="14" xfId="21" applyNumberFormat="1" applyFont="1" applyBorder="1" applyAlignment="1">
      <alignment horizontal="right"/>
      <protection/>
    </xf>
    <xf numFmtId="3" fontId="4" fillId="0" borderId="15" xfId="21" applyNumberFormat="1" applyFont="1" applyBorder="1" applyAlignment="1">
      <alignment horizontal="right"/>
      <protection/>
    </xf>
    <xf numFmtId="0" fontId="4" fillId="0" borderId="16" xfId="21" applyFont="1" applyBorder="1">
      <alignment/>
      <protection/>
    </xf>
    <xf numFmtId="0" fontId="4" fillId="0" borderId="17" xfId="21" applyFont="1" applyBorder="1">
      <alignment/>
      <protection/>
    </xf>
    <xf numFmtId="191" fontId="6" fillId="0" borderId="17" xfId="21" applyNumberFormat="1" applyFont="1" applyBorder="1">
      <alignment/>
      <protection/>
    </xf>
    <xf numFmtId="191" fontId="6" fillId="0" borderId="18" xfId="21" applyNumberFormat="1" applyFont="1" applyBorder="1">
      <alignment/>
      <protection/>
    </xf>
    <xf numFmtId="3" fontId="4" fillId="0" borderId="0" xfId="21" applyNumberFormat="1" applyFont="1">
      <alignment/>
      <protection/>
    </xf>
    <xf numFmtId="0" fontId="6" fillId="0" borderId="0" xfId="21" applyFont="1" applyBorder="1">
      <alignment/>
      <protection/>
    </xf>
    <xf numFmtId="190" fontId="4" fillId="0" borderId="13" xfId="21" applyNumberFormat="1" applyFont="1" applyBorder="1" applyAlignment="1">
      <alignment horizontal="center" wrapText="1"/>
      <protection/>
    </xf>
    <xf numFmtId="191" fontId="4" fillId="0" borderId="14" xfId="21" applyNumberFormat="1" applyFont="1" applyBorder="1">
      <alignment/>
      <protection/>
    </xf>
    <xf numFmtId="191" fontId="4" fillId="0" borderId="15" xfId="21" applyNumberFormat="1" applyFont="1" applyBorder="1">
      <alignment/>
      <protection/>
    </xf>
    <xf numFmtId="0" fontId="4" fillId="0" borderId="12" xfId="21" applyFont="1" applyBorder="1">
      <alignment/>
      <protection/>
    </xf>
    <xf numFmtId="190" fontId="4" fillId="0" borderId="13" xfId="21" applyNumberFormat="1" applyFont="1" applyBorder="1" applyAlignment="1">
      <alignment horizontal="right"/>
      <protection/>
    </xf>
    <xf numFmtId="190" fontId="4" fillId="0" borderId="13" xfId="21" applyNumberFormat="1" applyFont="1" applyBorder="1" applyAlignment="1">
      <alignment horizontal="center"/>
      <protection/>
    </xf>
    <xf numFmtId="3" fontId="4" fillId="0" borderId="14" xfId="21" applyNumberFormat="1" applyFont="1" applyBorder="1">
      <alignment/>
      <protection/>
    </xf>
    <xf numFmtId="173" fontId="0" fillId="0" borderId="13" xfId="15" applyNumberFormat="1" applyBorder="1" applyAlignment="1">
      <alignment/>
    </xf>
    <xf numFmtId="173" fontId="0" fillId="0" borderId="15" xfId="15" applyNumberFormat="1" applyBorder="1" applyAlignment="1">
      <alignment/>
    </xf>
    <xf numFmtId="191" fontId="6" fillId="0" borderId="19" xfId="17" applyNumberFormat="1" applyFont="1" applyBorder="1" applyAlignment="1">
      <alignment horizontal="right"/>
    </xf>
    <xf numFmtId="191" fontId="6" fillId="0" borderId="18" xfId="17" applyNumberFormat="1" applyFont="1" applyBorder="1" applyAlignment="1">
      <alignment horizontal="right"/>
    </xf>
    <xf numFmtId="3" fontId="7" fillId="0" borderId="0" xfId="21" applyNumberFormat="1" applyFont="1" applyBorder="1">
      <alignment/>
      <protection/>
    </xf>
    <xf numFmtId="0" fontId="4" fillId="0" borderId="8" xfId="21" applyFont="1" applyBorder="1">
      <alignment/>
      <protection/>
    </xf>
    <xf numFmtId="0" fontId="4" fillId="0" borderId="20" xfId="21" applyFont="1" applyBorder="1" applyAlignment="1">
      <alignment horizontal="center"/>
      <protection/>
    </xf>
    <xf numFmtId="0" fontId="4" fillId="0" borderId="21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0" fontId="4" fillId="0" borderId="22" xfId="21" applyFont="1" applyBorder="1" applyAlignment="1">
      <alignment horizontal="center"/>
      <protection/>
    </xf>
    <xf numFmtId="0" fontId="4" fillId="0" borderId="23" xfId="21" applyFont="1" applyBorder="1" applyAlignment="1">
      <alignment horizontal="center"/>
      <protection/>
    </xf>
    <xf numFmtId="0" fontId="4" fillId="0" borderId="22" xfId="21" applyFont="1" applyBorder="1">
      <alignment/>
      <protection/>
    </xf>
    <xf numFmtId="0" fontId="4" fillId="0" borderId="23" xfId="21" applyFont="1" applyBorder="1">
      <alignment/>
      <protection/>
    </xf>
    <xf numFmtId="191" fontId="4" fillId="0" borderId="13" xfId="15" applyNumberFormat="1" applyFont="1" applyBorder="1" applyAlignment="1">
      <alignment/>
    </xf>
    <xf numFmtId="191" fontId="4" fillId="0" borderId="14" xfId="15" applyNumberFormat="1" applyFont="1" applyBorder="1" applyAlignment="1">
      <alignment/>
    </xf>
    <xf numFmtId="191" fontId="4" fillId="0" borderId="15" xfId="15" applyNumberFormat="1" applyFont="1" applyBorder="1" applyAlignment="1">
      <alignment/>
    </xf>
    <xf numFmtId="3" fontId="0" fillId="0" borderId="0" xfId="21" applyNumberFormat="1" applyBorder="1">
      <alignment/>
      <protection/>
    </xf>
    <xf numFmtId="191" fontId="4" fillId="0" borderId="13" xfId="21" applyNumberFormat="1" applyFont="1" applyBorder="1">
      <alignment/>
      <protection/>
    </xf>
    <xf numFmtId="191" fontId="0" fillId="0" borderId="0" xfId="21" applyNumberFormat="1" applyFont="1" applyBorder="1">
      <alignment/>
      <protection/>
    </xf>
    <xf numFmtId="0" fontId="4" fillId="0" borderId="24" xfId="21" applyFont="1" applyBorder="1">
      <alignment/>
      <protection/>
    </xf>
    <xf numFmtId="0" fontId="4" fillId="0" borderId="25" xfId="21" applyFont="1" applyBorder="1">
      <alignment/>
      <protection/>
    </xf>
    <xf numFmtId="3" fontId="0" fillId="0" borderId="0" xfId="21" applyNumberFormat="1">
      <alignment/>
      <protection/>
    </xf>
    <xf numFmtId="0" fontId="8" fillId="0" borderId="20" xfId="21" applyFont="1" applyBorder="1">
      <alignment/>
      <protection/>
    </xf>
    <xf numFmtId="0" fontId="4" fillId="0" borderId="20" xfId="21" applyFont="1" applyBorder="1">
      <alignment/>
      <protection/>
    </xf>
    <xf numFmtId="0" fontId="9" fillId="0" borderId="20" xfId="0" applyFont="1" applyBorder="1" applyAlignment="1">
      <alignment horizontal="right" vertical="center" wrapText="1"/>
    </xf>
    <xf numFmtId="0" fontId="1" fillId="0" borderId="26" xfId="21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left" vertical="center" wrapText="1"/>
    </xf>
    <xf numFmtId="3" fontId="1" fillId="0" borderId="0" xfId="21" applyNumberFormat="1" applyFont="1" applyBorder="1" applyAlignment="1">
      <alignment horizontal="right" vertical="center" wrapText="1"/>
      <protection/>
    </xf>
    <xf numFmtId="0" fontId="1" fillId="0" borderId="27" xfId="0" applyFont="1" applyBorder="1" applyAlignment="1">
      <alignment horizontal="left" vertical="center" wrapText="1"/>
    </xf>
    <xf numFmtId="3" fontId="1" fillId="0" borderId="27" xfId="21" applyNumberFormat="1" applyFont="1" applyBorder="1" applyAlignment="1">
      <alignment horizontal="right" vertical="center" wrapText="1"/>
      <protection/>
    </xf>
    <xf numFmtId="0" fontId="11" fillId="0" borderId="27" xfId="0" applyFont="1" applyBorder="1" applyAlignment="1">
      <alignment horizontal="left" vertical="center" wrapText="1"/>
    </xf>
    <xf numFmtId="0" fontId="9" fillId="0" borderId="27" xfId="21" applyFont="1" applyBorder="1" applyAlignment="1">
      <alignment horizontal="left" vertical="center" wrapText="1"/>
      <protection/>
    </xf>
    <xf numFmtId="3" fontId="9" fillId="0" borderId="27" xfId="21" applyNumberFormat="1" applyFont="1" applyBorder="1" applyAlignment="1">
      <alignment horizontal="right" vertical="center" wrapText="1"/>
      <protection/>
    </xf>
    <xf numFmtId="0" fontId="1" fillId="0" borderId="0" xfId="21" applyFont="1" applyBorder="1" applyAlignment="1">
      <alignment horizontal="left" vertical="center"/>
      <protection/>
    </xf>
    <xf numFmtId="192" fontId="1" fillId="0" borderId="0" xfId="21" applyNumberFormat="1" applyFont="1" applyBorder="1" applyAlignment="1">
      <alignment horizontal="right" vertical="center"/>
      <protection/>
    </xf>
    <xf numFmtId="192" fontId="1" fillId="0" borderId="26" xfId="21" applyNumberFormat="1" applyFont="1" applyBorder="1" applyAlignment="1">
      <alignment horizontal="right" vertical="center"/>
      <protection/>
    </xf>
    <xf numFmtId="0" fontId="1" fillId="0" borderId="27" xfId="21" applyFont="1" applyBorder="1" applyAlignment="1">
      <alignment horizontal="left" vertical="center"/>
      <protection/>
    </xf>
    <xf numFmtId="192" fontId="1" fillId="0" borderId="27" xfId="21" applyNumberFormat="1" applyFont="1" applyBorder="1" applyAlignment="1">
      <alignment horizontal="right" vertical="center"/>
      <protection/>
    </xf>
    <xf numFmtId="0" fontId="1" fillId="0" borderId="26" xfId="0" applyFont="1" applyBorder="1" applyAlignment="1">
      <alignment horizontal="left" vertical="center" wrapText="1"/>
    </xf>
    <xf numFmtId="0" fontId="0" fillId="0" borderId="0" xfId="0" applyAlignment="1" quotePrefix="1">
      <alignment/>
    </xf>
    <xf numFmtId="13" fontId="0" fillId="0" borderId="0" xfId="0" applyNumberFormat="1" applyAlignment="1">
      <alignment/>
    </xf>
    <xf numFmtId="3" fontId="1" fillId="0" borderId="26" xfId="21" applyNumberFormat="1" applyFont="1" applyBorder="1" applyAlignment="1">
      <alignment horizontal="right" vertical="center" wrapText="1"/>
      <protection/>
    </xf>
    <xf numFmtId="0" fontId="4" fillId="0" borderId="28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4" fillId="0" borderId="4" xfId="21" applyFont="1" applyBorder="1" applyAlignment="1">
      <alignment horizontal="left"/>
      <protection/>
    </xf>
    <xf numFmtId="0" fontId="0" fillId="0" borderId="0" xfId="0" applyAlignment="1">
      <alignment/>
    </xf>
    <xf numFmtId="0" fontId="1" fillId="0" borderId="0" xfId="21" applyFont="1" applyAlignment="1">
      <alignment horizontal="left"/>
      <protection/>
    </xf>
    <xf numFmtId="0" fontId="1" fillId="0" borderId="0" xfId="21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1" fillId="0" borderId="0" xfId="21" applyFont="1" applyAlignment="1">
      <alignment horizontal="left" wrapText="1"/>
      <protection/>
    </xf>
    <xf numFmtId="0" fontId="4" fillId="0" borderId="4" xfId="21" applyFont="1" applyBorder="1" applyAlignment="1">
      <alignment/>
      <protection/>
    </xf>
    <xf numFmtId="0" fontId="10" fillId="0" borderId="26" xfId="21" applyFont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otterl\Local%20Settings\Temporary%20Internet%20Files\OLK102\2008co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Official Special Service Costs"/>
      <sheetName val="Cost Pool Mode Pivot Table"/>
      <sheetName val="Sheet2"/>
      <sheetName val="Sheet1"/>
    </sheetNames>
    <sheetDataSet>
      <sheetData sheetId="0">
        <row r="9">
          <cell r="B9">
            <v>73.67733212230084</v>
          </cell>
        </row>
        <row r="11">
          <cell r="B11">
            <v>82.4669464076314</v>
          </cell>
        </row>
        <row r="12">
          <cell r="B12">
            <v>96.80009395412078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1">
      <selection activeCell="D52" sqref="D52"/>
    </sheetView>
  </sheetViews>
  <sheetFormatPr defaultColWidth="9.140625" defaultRowHeight="12.75"/>
  <cols>
    <col min="1" max="1" width="22.421875" style="5" customWidth="1"/>
    <col min="2" max="2" width="6.421875" style="5" bestFit="1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16384" width="9.140625" style="5" customWidth="1"/>
  </cols>
  <sheetData>
    <row r="1" spans="1:8" ht="15.75">
      <c r="A1" s="1"/>
      <c r="B1" s="2"/>
      <c r="C1" s="3" t="s">
        <v>3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92" t="s">
        <v>4</v>
      </c>
      <c r="B3" s="93"/>
      <c r="C3" s="93"/>
      <c r="D3" s="9"/>
      <c r="E3" s="9"/>
      <c r="F3" s="10"/>
      <c r="G3" s="8"/>
    </row>
    <row r="4" spans="1:7" ht="18" customHeight="1">
      <c r="A4" s="94" t="s">
        <v>5</v>
      </c>
      <c r="B4" s="95"/>
      <c r="C4" s="95"/>
      <c r="D4" s="11"/>
      <c r="E4" s="11"/>
      <c r="F4" s="12"/>
      <c r="G4" s="8"/>
    </row>
    <row r="5" spans="1:6" ht="18" customHeight="1">
      <c r="A5" s="100" t="s">
        <v>6</v>
      </c>
      <c r="B5" s="95"/>
      <c r="C5" s="13"/>
      <c r="D5" s="14"/>
      <c r="E5" s="15"/>
      <c r="F5" s="12"/>
    </row>
    <row r="6" spans="1:6" ht="18" customHeight="1">
      <c r="A6" s="16" t="s">
        <v>7</v>
      </c>
      <c r="B6" s="15"/>
      <c r="C6" s="15"/>
      <c r="D6" s="15"/>
      <c r="E6" s="15"/>
      <c r="F6" s="12"/>
    </row>
    <row r="7" spans="1:6" ht="18" customHeight="1" thickBot="1">
      <c r="A7" s="17" t="s">
        <v>36</v>
      </c>
      <c r="B7" s="18"/>
      <c r="C7" s="18"/>
      <c r="D7" s="18"/>
      <c r="E7" s="18"/>
      <c r="F7" s="19"/>
    </row>
    <row r="8" spans="1:7" ht="18" customHeight="1" thickTop="1">
      <c r="A8" s="20"/>
      <c r="B8" s="20"/>
      <c r="C8" s="15"/>
      <c r="D8" s="15"/>
      <c r="E8" s="15"/>
      <c r="F8" s="15"/>
      <c r="G8" s="21"/>
    </row>
    <row r="9" spans="1:6" ht="18" customHeight="1">
      <c r="A9" s="15" t="s">
        <v>8</v>
      </c>
      <c r="B9" s="20"/>
      <c r="C9" s="20"/>
      <c r="D9" s="20"/>
      <c r="E9" s="20"/>
      <c r="F9" s="20"/>
    </row>
    <row r="10" spans="1:7" ht="18" customHeight="1" thickBot="1">
      <c r="A10" s="22" t="s">
        <v>9</v>
      </c>
      <c r="B10" s="20"/>
      <c r="C10" s="20"/>
      <c r="D10" s="20"/>
      <c r="E10" s="20"/>
      <c r="F10" s="20"/>
      <c r="G10" s="21"/>
    </row>
    <row r="11" spans="1:6" ht="27">
      <c r="A11" s="23" t="s">
        <v>10</v>
      </c>
      <c r="B11" s="24" t="s">
        <v>11</v>
      </c>
      <c r="C11" s="24" t="s">
        <v>12</v>
      </c>
      <c r="D11" s="25">
        <v>2008</v>
      </c>
      <c r="E11" s="26">
        <f>D11+1</f>
        <v>2009</v>
      </c>
      <c r="F11" s="27">
        <f>E11+1</f>
        <v>2010</v>
      </c>
    </row>
    <row r="12" spans="1:6" ht="13.5">
      <c r="A12" s="28" t="s">
        <v>13</v>
      </c>
      <c r="B12" s="29">
        <v>4640</v>
      </c>
      <c r="C12" s="30" t="s">
        <v>14</v>
      </c>
      <c r="D12" s="31">
        <f>SUM(D32:D34)*22*0.8382</f>
        <v>102166.57747999999</v>
      </c>
      <c r="E12" s="31">
        <f>SUM(E32:E34)*22*0.8382</f>
        <v>365497.33352</v>
      </c>
      <c r="F12" s="32">
        <f>SUM(F32:F34)*22*0.8382</f>
        <v>364058.36763999995</v>
      </c>
    </row>
    <row r="13" spans="1:7" ht="13.5">
      <c r="A13" s="28" t="s">
        <v>13</v>
      </c>
      <c r="B13" s="29">
        <v>4640</v>
      </c>
      <c r="C13" s="30" t="s">
        <v>37</v>
      </c>
      <c r="D13" s="31">
        <v>106928</v>
      </c>
      <c r="E13" s="31">
        <v>402536</v>
      </c>
      <c r="F13" s="32">
        <v>420037</v>
      </c>
      <c r="G13" s="33"/>
    </row>
    <row r="14" spans="1:6" ht="13.5">
      <c r="A14" s="28"/>
      <c r="B14" s="29"/>
      <c r="C14" s="30"/>
      <c r="D14" s="34"/>
      <c r="E14" s="35"/>
      <c r="F14" s="36"/>
    </row>
    <row r="15" spans="1:6" ht="18" customHeight="1" thickBot="1">
      <c r="A15" s="37" t="s">
        <v>15</v>
      </c>
      <c r="B15" s="38"/>
      <c r="C15" s="38"/>
      <c r="D15" s="39">
        <f>SUM(D12:D14)</f>
        <v>209094.57747999998</v>
      </c>
      <c r="E15" s="39">
        <f>SUM(E12:E14)</f>
        <v>768033.33352</v>
      </c>
      <c r="F15" s="40">
        <f>SUM(F12:F14)</f>
        <v>784095.36764</v>
      </c>
    </row>
    <row r="16" spans="1:6" ht="18" customHeight="1">
      <c r="A16" s="20"/>
      <c r="B16" s="20"/>
      <c r="C16" s="20"/>
      <c r="D16" s="41"/>
      <c r="E16" s="41"/>
      <c r="F16" s="41"/>
    </row>
    <row r="17" spans="1:6" ht="18" customHeight="1" thickBot="1">
      <c r="A17" s="42" t="s">
        <v>16</v>
      </c>
      <c r="B17" s="15"/>
      <c r="C17" s="20"/>
      <c r="D17" s="20"/>
      <c r="E17" s="20"/>
      <c r="F17" s="20"/>
    </row>
    <row r="18" spans="1:6" ht="27">
      <c r="A18" s="23" t="s">
        <v>10</v>
      </c>
      <c r="B18" s="24" t="s">
        <v>11</v>
      </c>
      <c r="C18" s="24" t="s">
        <v>17</v>
      </c>
      <c r="D18" s="25">
        <f>D11</f>
        <v>2008</v>
      </c>
      <c r="E18" s="26">
        <f>D18+1</f>
        <v>2009</v>
      </c>
      <c r="F18" s="27">
        <f>E18+1</f>
        <v>2010</v>
      </c>
    </row>
    <row r="19" spans="1:6" ht="13.5">
      <c r="A19" s="28" t="s">
        <v>13</v>
      </c>
      <c r="B19" s="29">
        <v>4640</v>
      </c>
      <c r="C19" s="43" t="s">
        <v>18</v>
      </c>
      <c r="D19" s="44">
        <f>D32*D36+D33*D37+D34*D38</f>
        <v>454612.04827958427</v>
      </c>
      <c r="E19" s="44">
        <f>E32*E36+E33*E37+E34*E38</f>
        <v>1711417.1497854935</v>
      </c>
      <c r="F19" s="45">
        <f>F32*F36+F33*F37+F34*F38</f>
        <v>1785822.021051837</v>
      </c>
    </row>
    <row r="20" spans="1:6" ht="18" customHeight="1">
      <c r="A20" s="46"/>
      <c r="B20" s="47"/>
      <c r="C20" s="48"/>
      <c r="D20" s="49"/>
      <c r="E20" s="50"/>
      <c r="F20" s="45"/>
    </row>
    <row r="21" spans="1:6" ht="18" customHeight="1">
      <c r="A21" s="46"/>
      <c r="B21" s="47"/>
      <c r="C21" s="48"/>
      <c r="D21" s="49"/>
      <c r="E21" s="50"/>
      <c r="F21" s="51"/>
    </row>
    <row r="22" spans="1:7" ht="18" customHeight="1" thickBot="1">
      <c r="A22" s="37" t="s">
        <v>15</v>
      </c>
      <c r="B22" s="38"/>
      <c r="C22" s="38"/>
      <c r="D22" s="52">
        <f>SUM(D19:D21)</f>
        <v>454612.04827958427</v>
      </c>
      <c r="E22" s="52">
        <f>SUM(E19:E21)</f>
        <v>1711417.1497854935</v>
      </c>
      <c r="F22" s="53">
        <f>SUM(F19:F21)</f>
        <v>1785822.021051837</v>
      </c>
      <c r="G22" s="54"/>
    </row>
    <row r="23" spans="1:6" ht="18" customHeight="1">
      <c r="A23" s="20"/>
      <c r="B23" s="20"/>
      <c r="C23" s="20"/>
      <c r="D23" s="41"/>
      <c r="E23" s="41"/>
      <c r="F23" s="41"/>
    </row>
    <row r="24" spans="1:6" ht="18" customHeight="1" thickBot="1">
      <c r="A24" s="42" t="s">
        <v>19</v>
      </c>
      <c r="B24" s="15"/>
      <c r="C24" s="15"/>
      <c r="D24" s="20"/>
      <c r="E24" s="20"/>
      <c r="F24" s="20"/>
    </row>
    <row r="25" spans="1:8" ht="18" customHeight="1">
      <c r="A25" s="55"/>
      <c r="B25" s="56"/>
      <c r="C25" s="57"/>
      <c r="D25" s="25">
        <f>D18</f>
        <v>2008</v>
      </c>
      <c r="E25" s="26">
        <f>D25+1</f>
        <v>2009</v>
      </c>
      <c r="F25" s="27">
        <f>E25+1</f>
        <v>2010</v>
      </c>
      <c r="G25" s="58"/>
      <c r="H25" s="58"/>
    </row>
    <row r="26" spans="1:8" ht="18" customHeight="1">
      <c r="A26" s="46" t="s">
        <v>20</v>
      </c>
      <c r="B26" s="59"/>
      <c r="C26" s="60"/>
      <c r="D26" s="44">
        <f>D32*D39+D33*D40+D34*D41</f>
        <v>340959.03620968823</v>
      </c>
      <c r="E26" s="44">
        <f>E32*E39+E33*E40+E34*E41</f>
        <v>1283562.8623391201</v>
      </c>
      <c r="F26" s="45">
        <f>F32*F39+F33*F40+F34*F41</f>
        <v>1339366.5157888778</v>
      </c>
      <c r="G26" s="58"/>
      <c r="H26" s="58"/>
    </row>
    <row r="27" spans="1:8" ht="18" customHeight="1">
      <c r="A27" s="46" t="s">
        <v>21</v>
      </c>
      <c r="B27" s="61"/>
      <c r="C27" s="62"/>
      <c r="D27" s="63">
        <f>+D22-D26</f>
        <v>113653.01206989604</v>
      </c>
      <c r="E27" s="64">
        <f>+E22-E26</f>
        <v>427854.2874463734</v>
      </c>
      <c r="F27" s="65">
        <f>+F22-F26</f>
        <v>446455.50526295905</v>
      </c>
      <c r="G27" s="66"/>
      <c r="H27" s="66"/>
    </row>
    <row r="28" spans="1:8" ht="18" customHeight="1">
      <c r="A28" s="46" t="s">
        <v>22</v>
      </c>
      <c r="B28" s="61"/>
      <c r="C28" s="62"/>
      <c r="D28" s="44"/>
      <c r="E28" s="44"/>
      <c r="F28" s="45"/>
      <c r="G28" s="66"/>
      <c r="H28" s="66"/>
    </row>
    <row r="29" spans="1:6" ht="18" customHeight="1">
      <c r="A29" s="46" t="s">
        <v>23</v>
      </c>
      <c r="B29" s="61"/>
      <c r="C29" s="62"/>
      <c r="D29" s="67"/>
      <c r="E29" s="68"/>
      <c r="F29" s="45"/>
    </row>
    <row r="30" spans="1:8" ht="18" customHeight="1" thickBot="1">
      <c r="A30" s="37" t="s">
        <v>15</v>
      </c>
      <c r="B30" s="69"/>
      <c r="C30" s="70"/>
      <c r="D30" s="39">
        <f>SUM(D26:D29)</f>
        <v>454612.04827958427</v>
      </c>
      <c r="E30" s="39">
        <f>SUM(E26:E29)</f>
        <v>1711417.1497854935</v>
      </c>
      <c r="F30" s="40">
        <f>SUM(F26:F29)</f>
        <v>1785822.021051837</v>
      </c>
      <c r="G30" s="71"/>
      <c r="H30" s="71"/>
    </row>
    <row r="31" spans="1:8" ht="18" customHeight="1">
      <c r="A31" s="72" t="s">
        <v>24</v>
      </c>
      <c r="B31" s="73"/>
      <c r="C31" s="73"/>
      <c r="D31" s="74">
        <f>D25</f>
        <v>2008</v>
      </c>
      <c r="E31" s="74">
        <f>D31+1</f>
        <v>2009</v>
      </c>
      <c r="F31" s="74">
        <f>E31+1</f>
        <v>2010</v>
      </c>
      <c r="G31" s="71"/>
      <c r="H31" s="71"/>
    </row>
    <row r="32" spans="1:8" ht="12.75" customHeight="1">
      <c r="A32" s="101" t="s">
        <v>38</v>
      </c>
      <c r="B32" s="102"/>
      <c r="C32" s="88" t="s">
        <v>25</v>
      </c>
      <c r="D32" s="91">
        <f>Assumptions!C16</f>
        <v>744.3166666666666</v>
      </c>
      <c r="E32" s="91">
        <f>Assumptions!D16</f>
        <v>2662.7666666666664</v>
      </c>
      <c r="F32" s="91">
        <f>Assumptions!E16</f>
        <v>2652.2833333333333</v>
      </c>
      <c r="G32" s="71"/>
      <c r="H32" s="71"/>
    </row>
    <row r="33" spans="1:8" ht="12.75" customHeight="1">
      <c r="A33" s="103"/>
      <c r="B33" s="103"/>
      <c r="C33" s="76" t="s">
        <v>1</v>
      </c>
      <c r="D33" s="77">
        <f>Assumptions!C17</f>
        <v>4499.033333333334</v>
      </c>
      <c r="E33" s="77">
        <f>Assumptions!D17</f>
        <v>16095.133333333333</v>
      </c>
      <c r="F33" s="77">
        <f>Assumptions!E17</f>
        <v>16031.766666666666</v>
      </c>
      <c r="G33" s="71"/>
      <c r="H33" s="71"/>
    </row>
    <row r="34" spans="1:8" ht="12.75" customHeight="1">
      <c r="A34" s="104"/>
      <c r="B34" s="104"/>
      <c r="C34" s="78" t="s">
        <v>0</v>
      </c>
      <c r="D34" s="79">
        <f>Assumptions!C18</f>
        <v>297.0166666666667</v>
      </c>
      <c r="E34" s="79">
        <f>Assumptions!D18</f>
        <v>1062.5666666666668</v>
      </c>
      <c r="F34" s="79">
        <f>Assumptions!E18</f>
        <v>1058.3833333333334</v>
      </c>
      <c r="G34" s="71"/>
      <c r="H34" s="71"/>
    </row>
    <row r="35" spans="1:6" ht="16.5" customHeight="1">
      <c r="A35" s="80" t="s">
        <v>26</v>
      </c>
      <c r="B35" s="80"/>
      <c r="C35" s="81"/>
      <c r="D35" s="82">
        <f>SUM(D32:D34)</f>
        <v>5540.366666666667</v>
      </c>
      <c r="E35" s="82">
        <f>SUM(E32:E34)</f>
        <v>19820.466666666667</v>
      </c>
      <c r="F35" s="82">
        <f>SUM(F32:F34)</f>
        <v>19742.433333333334</v>
      </c>
    </row>
    <row r="36" spans="1:6" ht="16.5" customHeight="1">
      <c r="A36" s="105" t="s">
        <v>32</v>
      </c>
      <c r="B36" s="105"/>
      <c r="C36" s="75" t="s">
        <v>25</v>
      </c>
      <c r="D36" s="85">
        <f>'[1]Sheet3'!$B$9</f>
        <v>73.67733212230084</v>
      </c>
      <c r="E36" s="85">
        <f>D36*1.0523</f>
        <v>77.53065659229718</v>
      </c>
      <c r="F36" s="85">
        <f>E36*1.0476</f>
        <v>81.22111584609053</v>
      </c>
    </row>
    <row r="37" spans="1:6" ht="16.5" customHeight="1">
      <c r="A37" s="106"/>
      <c r="B37" s="106"/>
      <c r="C37" s="83" t="s">
        <v>1</v>
      </c>
      <c r="D37" s="84">
        <f>'[1]Sheet3'!$B$11</f>
        <v>82.4669464076314</v>
      </c>
      <c r="E37" s="84">
        <f>D37*1.0523</f>
        <v>86.77996770475052</v>
      </c>
      <c r="F37" s="84">
        <f>E37*1.0476</f>
        <v>90.91069416749664</v>
      </c>
    </row>
    <row r="38" spans="1:6" ht="16.5" customHeight="1">
      <c r="A38" s="107"/>
      <c r="B38" s="107"/>
      <c r="C38" s="86" t="s">
        <v>0</v>
      </c>
      <c r="D38" s="87">
        <f>'[1]Sheet3'!$B$12</f>
        <v>96.80009395412078</v>
      </c>
      <c r="E38" s="87">
        <f>D38*1.0523</f>
        <v>101.8627388679213</v>
      </c>
      <c r="F38" s="87">
        <f>E38*1.0476</f>
        <v>106.71140523803436</v>
      </c>
    </row>
    <row r="39" spans="1:6" ht="12.75">
      <c r="A39" s="108" t="s">
        <v>27</v>
      </c>
      <c r="B39" s="109"/>
      <c r="C39" s="83" t="s">
        <v>25</v>
      </c>
      <c r="D39" s="84">
        <f aca="true" t="shared" si="0" ref="D39:F41">0.75*D36</f>
        <v>55.25799909172563</v>
      </c>
      <c r="E39" s="84">
        <f t="shared" si="0"/>
        <v>58.14799244422288</v>
      </c>
      <c r="F39" s="84">
        <f t="shared" si="0"/>
        <v>60.915836884567895</v>
      </c>
    </row>
    <row r="40" spans="1:6" ht="12.75">
      <c r="A40" s="109"/>
      <c r="B40" s="109"/>
      <c r="C40" s="83" t="s">
        <v>1</v>
      </c>
      <c r="D40" s="84">
        <f t="shared" si="0"/>
        <v>61.85020980572355</v>
      </c>
      <c r="E40" s="84">
        <f t="shared" si="0"/>
        <v>65.08497577856289</v>
      </c>
      <c r="F40" s="84">
        <f t="shared" si="0"/>
        <v>68.18302062562248</v>
      </c>
    </row>
    <row r="41" spans="1:6" ht="12.75">
      <c r="A41" s="104"/>
      <c r="B41" s="104"/>
      <c r="C41" s="86" t="s">
        <v>0</v>
      </c>
      <c r="D41" s="87">
        <f t="shared" si="0"/>
        <v>72.60007046559059</v>
      </c>
      <c r="E41" s="87">
        <f t="shared" si="0"/>
        <v>76.39705415094097</v>
      </c>
      <c r="F41" s="87">
        <f t="shared" si="0"/>
        <v>80.03355392852578</v>
      </c>
    </row>
    <row r="42" spans="1:6" ht="12.75" customHeight="1">
      <c r="A42" s="99" t="s">
        <v>28</v>
      </c>
      <c r="B42" s="99"/>
      <c r="C42" s="99"/>
      <c r="D42" s="99"/>
      <c r="E42" s="99"/>
      <c r="F42" s="99"/>
    </row>
    <row r="43" spans="1:6" ht="30" customHeight="1">
      <c r="A43" s="97" t="s">
        <v>39</v>
      </c>
      <c r="B43" s="98"/>
      <c r="C43" s="98"/>
      <c r="D43" s="98"/>
      <c r="E43" s="98"/>
      <c r="F43" s="98"/>
    </row>
    <row r="44" spans="1:6" ht="12.75">
      <c r="A44" s="96"/>
      <c r="B44" s="96"/>
      <c r="C44" s="96"/>
      <c r="D44" s="96"/>
      <c r="E44" s="96"/>
      <c r="F44" s="96"/>
    </row>
  </sheetData>
  <mergeCells count="9">
    <mergeCell ref="A3:C3"/>
    <mergeCell ref="A4:C4"/>
    <mergeCell ref="A44:F44"/>
    <mergeCell ref="A43:F43"/>
    <mergeCell ref="A42:F42"/>
    <mergeCell ref="A5:B5"/>
    <mergeCell ref="A32:B34"/>
    <mergeCell ref="A36:B38"/>
    <mergeCell ref="A39:B41"/>
  </mergeCells>
  <printOptions horizontalCentered="1"/>
  <pageMargins left="0.5" right="0.5" top="0.52" bottom="0.82" header="0.23" footer="0.5"/>
  <pageSetup fitToHeight="1" fitToWidth="1" horizontalDpi="600" verticalDpi="600" orientation="portrait" scale="96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6" sqref="B6"/>
    </sheetView>
  </sheetViews>
  <sheetFormatPr defaultColWidth="9.140625" defaultRowHeight="12.75"/>
  <sheetData>
    <row r="1" spans="1:3" ht="12.75">
      <c r="A1" t="s">
        <v>33</v>
      </c>
      <c r="B1" t="s">
        <v>34</v>
      </c>
      <c r="C1" t="s">
        <v>35</v>
      </c>
    </row>
    <row r="2" spans="1:3" ht="12.75">
      <c r="A2">
        <v>209</v>
      </c>
      <c r="B2">
        <f>ROUND(60*1400/254,0)/60</f>
        <v>5.516666666666667</v>
      </c>
      <c r="C2" t="s">
        <v>2</v>
      </c>
    </row>
    <row r="3" spans="1:3" ht="12.75">
      <c r="A3">
        <v>922</v>
      </c>
      <c r="B3">
        <f>ROUND(60*-980/254,0)/60</f>
        <v>-3.85</v>
      </c>
      <c r="C3" t="s">
        <v>2</v>
      </c>
    </row>
    <row r="4" spans="1:3" ht="12.75">
      <c r="A4">
        <v>929</v>
      </c>
      <c r="B4">
        <f>ROUND(60*2240/254,0)/60</f>
        <v>8.816666666666666</v>
      </c>
      <c r="C4" t="s">
        <v>2</v>
      </c>
    </row>
    <row r="5" spans="1:3" ht="12.75">
      <c r="A5">
        <v>157</v>
      </c>
      <c r="B5">
        <f>ROUND(60*3167/254,0)/60</f>
        <v>12.466666666666667</v>
      </c>
      <c r="C5" t="s">
        <v>1</v>
      </c>
    </row>
    <row r="6" spans="1:3" ht="12.75">
      <c r="A6">
        <v>46</v>
      </c>
      <c r="B6" s="90">
        <v>2.8166666666666664</v>
      </c>
      <c r="C6" t="s">
        <v>1</v>
      </c>
    </row>
    <row r="7" spans="1:3" ht="12.75">
      <c r="A7">
        <v>161</v>
      </c>
      <c r="B7">
        <f>-24/60</f>
        <v>-0.4</v>
      </c>
      <c r="C7" t="s">
        <v>1</v>
      </c>
    </row>
    <row r="8" spans="1:5" ht="12.75">
      <c r="A8" s="89" t="s">
        <v>29</v>
      </c>
      <c r="B8">
        <v>13.4</v>
      </c>
      <c r="C8" t="s">
        <v>1</v>
      </c>
      <c r="E8" s="90"/>
    </row>
    <row r="9" spans="1:3" ht="12.75">
      <c r="A9" s="89">
        <v>244</v>
      </c>
      <c r="B9">
        <f>ROUND(60*4754/254,0)/60</f>
        <v>18.716666666666665</v>
      </c>
      <c r="C9" t="s">
        <v>1</v>
      </c>
    </row>
    <row r="10" spans="1:3" ht="12.75">
      <c r="A10" s="89">
        <v>269</v>
      </c>
      <c r="B10">
        <f>ROUND(60*4157/254,0)/60</f>
        <v>16.366666666666667</v>
      </c>
      <c r="C10" t="s">
        <v>1</v>
      </c>
    </row>
    <row r="11" spans="1:3" ht="12.75">
      <c r="A11">
        <v>143</v>
      </c>
      <c r="B11">
        <f>ROUND(60*1086/254,0)/60</f>
        <v>4.283333333333333</v>
      </c>
      <c r="C11" t="s">
        <v>0</v>
      </c>
    </row>
    <row r="12" spans="1:3" ht="12.75">
      <c r="A12">
        <v>161</v>
      </c>
      <c r="B12">
        <f>-6/60</f>
        <v>-0.1</v>
      </c>
      <c r="C12" t="s">
        <v>0</v>
      </c>
    </row>
    <row r="13" spans="1:3" ht="12.75">
      <c r="A13" s="89" t="s">
        <v>29</v>
      </c>
      <c r="B13" s="90">
        <v>0</v>
      </c>
      <c r="C13" t="s">
        <v>0</v>
      </c>
    </row>
    <row r="14" spans="1:2" ht="12.75">
      <c r="A14" s="89"/>
      <c r="B14" s="90"/>
    </row>
    <row r="15" spans="3:5" ht="12.75">
      <c r="C15">
        <v>2008</v>
      </c>
      <c r="D15">
        <v>2009</v>
      </c>
      <c r="E15">
        <v>2010</v>
      </c>
    </row>
    <row r="16" spans="1:5" ht="12.75">
      <c r="A16" t="s">
        <v>25</v>
      </c>
      <c r="B16">
        <f>SUM(B2:B4)</f>
        <v>10.483333333333333</v>
      </c>
      <c r="C16">
        <f>B16*71</f>
        <v>744.3166666666666</v>
      </c>
      <c r="D16">
        <f>B16*254</f>
        <v>2662.7666666666664</v>
      </c>
      <c r="E16">
        <f>B16*253</f>
        <v>2652.2833333333333</v>
      </c>
    </row>
    <row r="17" spans="1:5" ht="12.75">
      <c r="A17" t="s">
        <v>30</v>
      </c>
      <c r="B17">
        <f>SUM(B5:B10)</f>
        <v>63.36666666666667</v>
      </c>
      <c r="C17">
        <f>B17*71</f>
        <v>4499.033333333334</v>
      </c>
      <c r="D17">
        <f>B17*254</f>
        <v>16095.133333333333</v>
      </c>
      <c r="E17">
        <f>B17*253</f>
        <v>16031.766666666666</v>
      </c>
    </row>
    <row r="18" spans="1:5" ht="12.75">
      <c r="A18" t="s">
        <v>31</v>
      </c>
      <c r="B18">
        <f>SUM(B11:B13)</f>
        <v>4.183333333333334</v>
      </c>
      <c r="C18">
        <f>B18*71</f>
        <v>297.0166666666667</v>
      </c>
      <c r="D18">
        <f>B18*254</f>
        <v>1062.5666666666668</v>
      </c>
      <c r="E18">
        <f>B18*253</f>
        <v>1058.3833333333334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WoldM</dc:creator>
  <cp:keywords/>
  <dc:description/>
  <cp:lastModifiedBy>Allende-Foss, Angel</cp:lastModifiedBy>
  <cp:lastPrinted>2008-04-17T16:56:57Z</cp:lastPrinted>
  <dcterms:created xsi:type="dcterms:W3CDTF">2008-03-11T23:48:05Z</dcterms:created>
  <dcterms:modified xsi:type="dcterms:W3CDTF">2008-04-17T16:57:06Z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