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2120" windowHeight="9120" activeTab="0"/>
  </bookViews>
  <sheets>
    <sheet name="Attachment B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mount_of_Reduction">'[4]CXBook'!#REF!</definedName>
    <definedName name="CX_98_proposed">'[4]CXBook'!#REF!</definedName>
    <definedName name="mbase695">'[5]QryMbase695'!$A$2:$E$84</definedName>
    <definedName name="Percent_of_CX">'[4]CXBook'!#REF!</definedName>
    <definedName name="_xlnm.Print_Area" localSheetId="0">'Attachment B'!$A$1:$X$74</definedName>
    <definedName name="test">'[1]Allotment Plan'!#REF!</definedName>
  </definedNames>
  <calcPr fullCalcOnLoad="1"/>
</workbook>
</file>

<file path=xl/sharedStrings.xml><?xml version="1.0" encoding="utf-8"?>
<sst xmlns="http://schemas.openxmlformats.org/spreadsheetml/2006/main" count="199" uniqueCount="69">
  <si>
    <t>Oct</t>
  </si>
  <si>
    <t>Nov</t>
  </si>
  <si>
    <t>DEC</t>
  </si>
  <si>
    <t>Total</t>
  </si>
  <si>
    <t>Total plus OH Allocation</t>
  </si>
  <si>
    <t>Avg of Actual Exp</t>
  </si>
  <si>
    <t>Remaining Year Forecast</t>
  </si>
  <si>
    <t>2005 Estimate</t>
  </si>
  <si>
    <t>I. Fund Financial Measures</t>
  </si>
  <si>
    <t>Revenue</t>
  </si>
  <si>
    <t>Expense</t>
  </si>
  <si>
    <t>Net Income</t>
  </si>
  <si>
    <t>Estimated Account Receivable</t>
  </si>
  <si>
    <t>End-of-period cash balance</t>
  </si>
  <si>
    <t>Fund balance</t>
  </si>
  <si>
    <t>Total borrowing</t>
  </si>
  <si>
    <t>Interest expense</t>
  </si>
  <si>
    <t>II. Line-of-Business Measures</t>
  </si>
  <si>
    <t>For County Agencies</t>
  </si>
  <si>
    <t>Print Shop/Copy Center</t>
  </si>
  <si>
    <t>Number of work orders</t>
  </si>
  <si>
    <t>N/A</t>
  </si>
  <si>
    <t>Total # of copies (excludes vol. in boxes)</t>
  </si>
  <si>
    <t>Revenue from agencies</t>
  </si>
  <si>
    <t xml:space="preserve">Graphics  </t>
  </si>
  <si>
    <t>Utilization</t>
  </si>
  <si>
    <t>Pass-Through</t>
  </si>
  <si>
    <t>Net Income (15% markup)</t>
  </si>
  <si>
    <t>Overhead</t>
  </si>
  <si>
    <t>For City of Seattle Agencies (Org 3219)</t>
  </si>
  <si>
    <t>Print Shop</t>
  </si>
  <si>
    <t>Jan - September revenues were based on monthly actual.  The remaining forecast for Graphics and Printshop were based on the historical average (2002-2005), except for Photography and Videography.</t>
  </si>
  <si>
    <t>OH allocation</t>
  </si>
  <si>
    <t>Expenditure</t>
  </si>
  <si>
    <t>Revenue forecast for Photography and Videography assume 100% direct cost (labor, supplies) recovery.</t>
  </si>
  <si>
    <t>Pass-through revenue forecast (Oct - Dec) was derived by the estimated pass-through expenditure * 115%.</t>
  </si>
  <si>
    <t xml:space="preserve">Admin OH costs were allocated to Graphics and SMT based on actual expenditure, and to Print shop based on adjusted expenditure which is a net of operation result of both Printshop and pass-through.   </t>
  </si>
  <si>
    <t>Other Notes:</t>
  </si>
  <si>
    <t>*</t>
  </si>
  <si>
    <t>Expenditure depicted 09/30/2006 actual with September salaries and benefits estimates.  The remaining forecast was based on average 1/12 expenditure (otherwise noted) after deferring some expenditure until December.</t>
  </si>
  <si>
    <t>The following expenses are deferred until December:</t>
  </si>
  <si>
    <t>Finance Central Rates</t>
  </si>
  <si>
    <t>ITS administrative charges</t>
  </si>
  <si>
    <t>Graybar Lease through FMD</t>
  </si>
  <si>
    <t>DES ER Contribution</t>
  </si>
  <si>
    <t>Total Deferred</t>
  </si>
  <si>
    <t>The deferred expenditure was adjusted based on the YTD 2006 actual.</t>
  </si>
  <si>
    <t>**</t>
  </si>
  <si>
    <t>There were recording delays in January and February due to the accounting system conversion.  The problems were resolved in March.</t>
  </si>
  <si>
    <t>***</t>
  </si>
  <si>
    <t>The breakdown of the estimated non-recurring payments for SMT Operations:</t>
  </si>
  <si>
    <t>SMT space cost (Jan-Aug)</t>
  </si>
  <si>
    <t>SMT equipment lease (Jan-Aug)</t>
  </si>
  <si>
    <t>Estimated Expenditure</t>
  </si>
  <si>
    <t>Unemployment Insurance Claim Payment (Mid August - December)</t>
  </si>
  <si>
    <r>
      <t xml:space="preserve">Jan  </t>
    </r>
    <r>
      <rPr>
        <b/>
        <vertAlign val="superscript"/>
        <sz val="9"/>
        <rFont val="Verdana"/>
        <family val="2"/>
      </rPr>
      <t>1</t>
    </r>
  </si>
  <si>
    <r>
      <t xml:space="preserve">Feb </t>
    </r>
    <r>
      <rPr>
        <b/>
        <vertAlign val="superscript"/>
        <sz val="9"/>
        <rFont val="Verdana"/>
        <family val="2"/>
      </rPr>
      <t>1</t>
    </r>
  </si>
  <si>
    <r>
      <t xml:space="preserve">Mar  </t>
    </r>
    <r>
      <rPr>
        <b/>
        <vertAlign val="superscript"/>
        <sz val="9"/>
        <rFont val="Verdana"/>
        <family val="2"/>
      </rPr>
      <t>1</t>
    </r>
  </si>
  <si>
    <r>
      <t xml:space="preserve">OH Allocation </t>
    </r>
    <r>
      <rPr>
        <b/>
        <vertAlign val="superscript"/>
        <sz val="9"/>
        <rFont val="Verdana"/>
        <family val="2"/>
      </rPr>
      <t>4</t>
    </r>
  </si>
  <si>
    <r>
      <t xml:space="preserve">Photography </t>
    </r>
    <r>
      <rPr>
        <vertAlign val="superscript"/>
        <sz val="9"/>
        <rFont val="Verdana"/>
        <family val="2"/>
      </rPr>
      <t xml:space="preserve"> 2</t>
    </r>
  </si>
  <si>
    <r>
      <t xml:space="preserve">Videography  </t>
    </r>
    <r>
      <rPr>
        <vertAlign val="superscript"/>
        <sz val="9"/>
        <rFont val="Verdana"/>
        <family val="2"/>
      </rPr>
      <t>2</t>
    </r>
  </si>
  <si>
    <r>
      <t xml:space="preserve">Revenue from agencies  </t>
    </r>
    <r>
      <rPr>
        <vertAlign val="superscript"/>
        <sz val="9"/>
        <rFont val="Verdana"/>
        <family val="2"/>
      </rPr>
      <t>3</t>
    </r>
  </si>
  <si>
    <r>
      <t xml:space="preserve"> Apr </t>
    </r>
    <r>
      <rPr>
        <b/>
        <vertAlign val="superscript"/>
        <sz val="9"/>
        <rFont val="Verdana"/>
        <family val="2"/>
      </rPr>
      <t>1</t>
    </r>
  </si>
  <si>
    <r>
      <t xml:space="preserve"> May </t>
    </r>
    <r>
      <rPr>
        <b/>
        <vertAlign val="superscript"/>
        <sz val="9"/>
        <rFont val="Verdana"/>
        <family val="2"/>
      </rPr>
      <t>1</t>
    </r>
  </si>
  <si>
    <r>
      <t xml:space="preserve"> Jun </t>
    </r>
    <r>
      <rPr>
        <b/>
        <vertAlign val="superscript"/>
        <sz val="9"/>
        <rFont val="Verdana"/>
        <family val="2"/>
      </rPr>
      <t>1</t>
    </r>
  </si>
  <si>
    <r>
      <t xml:space="preserve"> Jul </t>
    </r>
    <r>
      <rPr>
        <b/>
        <vertAlign val="superscript"/>
        <sz val="9"/>
        <rFont val="Verdana"/>
        <family val="2"/>
      </rPr>
      <t>1</t>
    </r>
  </si>
  <si>
    <r>
      <t xml:space="preserve"> Aug </t>
    </r>
    <r>
      <rPr>
        <b/>
        <vertAlign val="superscript"/>
        <sz val="9"/>
        <rFont val="Verdana"/>
        <family val="2"/>
      </rPr>
      <t>1</t>
    </r>
  </si>
  <si>
    <r>
      <t xml:space="preserve"> Sep </t>
    </r>
    <r>
      <rPr>
        <b/>
        <vertAlign val="superscript"/>
        <sz val="9"/>
        <rFont val="Verdana"/>
        <family val="2"/>
      </rPr>
      <t>1</t>
    </r>
  </si>
  <si>
    <t>The pass-through expenditure forecast (Oct - Dec) is based on the September actual, also anticipated increase in December due to volume increase.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</si>
</sst>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#,##0.000000000_);[Red]\(#,##0.000000000\)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b/>
      <vertAlign val="superscript"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vertAlign val="superscript"/>
      <sz val="9"/>
      <name val="Verdana"/>
      <family val="2"/>
    </font>
    <font>
      <sz val="9"/>
      <color indexed="10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8" fontId="5" fillId="0" borderId="1" xfId="0" applyNumberFormat="1" applyFont="1" applyBorder="1" applyAlignment="1">
      <alignment horizontal="center" vertical="center" wrapText="1"/>
    </xf>
    <xf numFmtId="38" fontId="5" fillId="0" borderId="2" xfId="0" applyNumberFormat="1" applyFont="1" applyBorder="1" applyAlignment="1">
      <alignment horizontal="center" vertical="center" wrapText="1"/>
    </xf>
    <xf numFmtId="38" fontId="6" fillId="0" borderId="2" xfId="0" applyNumberFormat="1" applyFont="1" applyBorder="1" applyAlignment="1">
      <alignment horizontal="center" vertical="center" wrapText="1"/>
    </xf>
    <xf numFmtId="38" fontId="5" fillId="2" borderId="3" xfId="15" applyNumberFormat="1" applyFont="1" applyFill="1" applyBorder="1" applyAlignment="1" quotePrefix="1">
      <alignment horizontal="center" vertical="center" wrapText="1"/>
    </xf>
    <xf numFmtId="38" fontId="5" fillId="2" borderId="3" xfId="15" applyNumberFormat="1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 quotePrefix="1">
      <alignment horizontal="center" vertical="center" wrapText="1"/>
    </xf>
    <xf numFmtId="38" fontId="5" fillId="2" borderId="1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" vertical="center" wrapText="1"/>
    </xf>
    <xf numFmtId="38" fontId="5" fillId="3" borderId="3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38" fontId="5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8" fillId="0" borderId="4" xfId="15" applyNumberFormat="1" applyFont="1" applyBorder="1" applyAlignment="1">
      <alignment/>
    </xf>
    <xf numFmtId="38" fontId="8" fillId="0" borderId="0" xfId="15" applyNumberFormat="1" applyFont="1" applyAlignment="1">
      <alignment/>
    </xf>
    <xf numFmtId="38" fontId="8" fillId="0" borderId="0" xfId="0" applyNumberFormat="1" applyFont="1" applyBorder="1" applyAlignment="1">
      <alignment/>
    </xf>
    <xf numFmtId="38" fontId="8" fillId="2" borderId="5" xfId="0" applyNumberFormat="1" applyFont="1" applyFill="1" applyBorder="1" applyAlignment="1">
      <alignment/>
    </xf>
    <xf numFmtId="38" fontId="8" fillId="3" borderId="5" xfId="0" applyNumberFormat="1" applyFont="1" applyFill="1" applyBorder="1" applyAlignment="1">
      <alignment/>
    </xf>
    <xf numFmtId="43" fontId="9" fillId="0" borderId="0" xfId="15" applyFont="1" applyAlignment="1">
      <alignment/>
    </xf>
    <xf numFmtId="38" fontId="8" fillId="0" borderId="3" xfId="15" applyNumberFormat="1" applyFont="1" applyBorder="1" applyAlignment="1">
      <alignment/>
    </xf>
    <xf numFmtId="38" fontId="8" fillId="2" borderId="3" xfId="0" applyNumberFormat="1" applyFont="1" applyFill="1" applyBorder="1" applyAlignment="1">
      <alignment/>
    </xf>
    <xf numFmtId="38" fontId="8" fillId="0" borderId="2" xfId="15" applyNumberFormat="1" applyFont="1" applyBorder="1" applyAlignment="1">
      <alignment/>
    </xf>
    <xf numFmtId="38" fontId="8" fillId="3" borderId="3" xfId="15" applyNumberFormat="1" applyFont="1" applyFill="1" applyBorder="1" applyAlignment="1">
      <alignment/>
    </xf>
    <xf numFmtId="38" fontId="8" fillId="0" borderId="6" xfId="15" applyNumberFormat="1" applyFont="1" applyBorder="1" applyAlignment="1">
      <alignment/>
    </xf>
    <xf numFmtId="38" fontId="9" fillId="4" borderId="3" xfId="15" applyNumberFormat="1" applyFont="1" applyFill="1" applyBorder="1" applyAlignment="1">
      <alignment/>
    </xf>
    <xf numFmtId="38" fontId="8" fillId="0" borderId="7" xfId="15" applyNumberFormat="1" applyFont="1" applyBorder="1" applyAlignment="1">
      <alignment/>
    </xf>
    <xf numFmtId="38" fontId="8" fillId="2" borderId="7" xfId="0" applyNumberFormat="1" applyFont="1" applyFill="1" applyBorder="1" applyAlignment="1">
      <alignment/>
    </xf>
    <xf numFmtId="38" fontId="8" fillId="0" borderId="8" xfId="15" applyNumberFormat="1" applyFont="1" applyBorder="1" applyAlignment="1">
      <alignment/>
    </xf>
    <xf numFmtId="38" fontId="8" fillId="3" borderId="7" xfId="15" applyNumberFormat="1" applyFont="1" applyFill="1" applyBorder="1" applyAlignment="1">
      <alignment/>
    </xf>
    <xf numFmtId="38" fontId="9" fillId="0" borderId="9" xfId="0" applyNumberFormat="1" applyFont="1" applyBorder="1" applyAlignment="1">
      <alignment/>
    </xf>
    <xf numFmtId="38" fontId="8" fillId="0" borderId="10" xfId="15" applyNumberFormat="1" applyFont="1" applyBorder="1" applyAlignment="1">
      <alignment/>
    </xf>
    <xf numFmtId="38" fontId="8" fillId="2" borderId="10" xfId="0" applyNumberFormat="1" applyFont="1" applyFill="1" applyBorder="1" applyAlignment="1">
      <alignment/>
    </xf>
    <xf numFmtId="38" fontId="8" fillId="0" borderId="11" xfId="15" applyNumberFormat="1" applyFont="1" applyBorder="1" applyAlignment="1">
      <alignment/>
    </xf>
    <xf numFmtId="38" fontId="8" fillId="3" borderId="10" xfId="15" applyNumberFormat="1" applyFont="1" applyFill="1" applyBorder="1" applyAlignment="1">
      <alignment/>
    </xf>
    <xf numFmtId="38" fontId="8" fillId="4" borderId="3" xfId="15" applyNumberFormat="1" applyFont="1" applyFill="1" applyBorder="1" applyAlignment="1">
      <alignment/>
    </xf>
    <xf numFmtId="38" fontId="8" fillId="0" borderId="2" xfId="0" applyNumberFormat="1" applyFont="1" applyBorder="1" applyAlignment="1">
      <alignment/>
    </xf>
    <xf numFmtId="38" fontId="8" fillId="3" borderId="3" xfId="0" applyNumberFormat="1" applyFont="1" applyFill="1" applyBorder="1" applyAlignment="1">
      <alignment/>
    </xf>
    <xf numFmtId="38" fontId="8" fillId="0" borderId="6" xfId="0" applyNumberFormat="1" applyFont="1" applyBorder="1" applyAlignment="1">
      <alignment/>
    </xf>
    <xf numFmtId="38" fontId="8" fillId="0" borderId="2" xfId="15" applyNumberFormat="1" applyFont="1" applyBorder="1" applyAlignment="1">
      <alignment horizontal="center"/>
    </xf>
    <xf numFmtId="38" fontId="8" fillId="3" borderId="3" xfId="15" applyNumberFormat="1" applyFont="1" applyFill="1" applyBorder="1" applyAlignment="1">
      <alignment horizontal="right"/>
    </xf>
    <xf numFmtId="38" fontId="8" fillId="0" borderId="6" xfId="15" applyNumberFormat="1" applyFont="1" applyBorder="1" applyAlignment="1">
      <alignment horizontal="center"/>
    </xf>
    <xf numFmtId="38" fontId="8" fillId="0" borderId="0" xfId="15" applyNumberFormat="1" applyFont="1" applyBorder="1" applyAlignment="1">
      <alignment/>
    </xf>
    <xf numFmtId="38" fontId="9" fillId="4" borderId="0" xfId="15" applyNumberFormat="1" applyFont="1" applyFill="1" applyBorder="1" applyAlignment="1">
      <alignment/>
    </xf>
    <xf numFmtId="38" fontId="5" fillId="0" borderId="4" xfId="15" applyNumberFormat="1" applyFont="1" applyBorder="1" applyAlignment="1">
      <alignment horizontal="center" vertical="center" wrapText="1"/>
    </xf>
    <xf numFmtId="38" fontId="5" fillId="0" borderId="0" xfId="15" applyNumberFormat="1" applyFont="1" applyAlignment="1">
      <alignment horizontal="center" vertical="center" wrapText="1"/>
    </xf>
    <xf numFmtId="38" fontId="5" fillId="0" borderId="0" xfId="0" applyNumberFormat="1" applyFont="1" applyAlignment="1">
      <alignment horizontal="center" vertical="center" wrapText="1"/>
    </xf>
    <xf numFmtId="38" fontId="5" fillId="0" borderId="0" xfId="0" applyNumberFormat="1" applyFont="1" applyBorder="1" applyAlignment="1">
      <alignment horizontal="center" vertical="center" wrapText="1"/>
    </xf>
    <xf numFmtId="38" fontId="8" fillId="2" borderId="5" xfId="0" applyNumberFormat="1" applyFont="1" applyFill="1" applyBorder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38" fontId="8" fillId="3" borderId="5" xfId="0" applyNumberFormat="1" applyFont="1" applyFill="1" applyBorder="1" applyAlignment="1">
      <alignment horizontal="center" vertical="center" wrapText="1"/>
    </xf>
    <xf numFmtId="38" fontId="10" fillId="0" borderId="0" xfId="0" applyNumberFormat="1" applyFont="1" applyAlignment="1">
      <alignment horizontal="center" vertical="center" wrapText="1"/>
    </xf>
    <xf numFmtId="38" fontId="8" fillId="0" borderId="4" xfId="21" applyNumberFormat="1" applyFont="1" applyBorder="1" applyAlignment="1">
      <alignment/>
    </xf>
    <xf numFmtId="38" fontId="8" fillId="0" borderId="3" xfId="15" applyNumberFormat="1" applyFont="1" applyBorder="1" applyAlignment="1">
      <alignment horizontal="center"/>
    </xf>
    <xf numFmtId="38" fontId="8" fillId="2" borderId="3" xfId="15" applyNumberFormat="1" applyFont="1" applyFill="1" applyBorder="1" applyAlignment="1">
      <alignment horizontal="center"/>
    </xf>
    <xf numFmtId="38" fontId="8" fillId="0" borderId="8" xfId="0" applyNumberFormat="1" applyFont="1" applyBorder="1" applyAlignment="1">
      <alignment/>
    </xf>
    <xf numFmtId="38" fontId="8" fillId="3" borderId="7" xfId="0" applyNumberFormat="1" applyFont="1" applyFill="1" applyBorder="1" applyAlignment="1">
      <alignment/>
    </xf>
    <xf numFmtId="38" fontId="8" fillId="0" borderId="12" xfId="0" applyNumberFormat="1" applyFont="1" applyBorder="1" applyAlignment="1">
      <alignment/>
    </xf>
    <xf numFmtId="38" fontId="8" fillId="0" borderId="11" xfId="0" applyNumberFormat="1" applyFont="1" applyBorder="1" applyAlignment="1">
      <alignment/>
    </xf>
    <xf numFmtId="38" fontId="8" fillId="3" borderId="10" xfId="0" applyNumberFormat="1" applyFont="1" applyFill="1" applyBorder="1" applyAlignment="1">
      <alignment/>
    </xf>
    <xf numFmtId="38" fontId="8" fillId="0" borderId="13" xfId="0" applyNumberFormat="1" applyFont="1" applyBorder="1" applyAlignment="1">
      <alignment/>
    </xf>
    <xf numFmtId="38" fontId="8" fillId="0" borderId="2" xfId="21" applyNumberFormat="1" applyFont="1" applyBorder="1" applyAlignment="1">
      <alignment/>
    </xf>
    <xf numFmtId="38" fontId="8" fillId="3" borderId="3" xfId="21" applyNumberFormat="1" applyFont="1" applyFill="1" applyBorder="1" applyAlignment="1">
      <alignment/>
    </xf>
    <xf numFmtId="38" fontId="8" fillId="0" borderId="6" xfId="21" applyNumberFormat="1" applyFont="1" applyBorder="1" applyAlignment="1">
      <alignment horizontal="center"/>
    </xf>
    <xf numFmtId="38" fontId="12" fillId="0" borderId="0" xfId="15" applyNumberFormat="1" applyFont="1" applyBorder="1" applyAlignment="1">
      <alignment/>
    </xf>
    <xf numFmtId="38" fontId="8" fillId="0" borderId="3" xfId="0" applyNumberFormat="1" applyFont="1" applyBorder="1" applyAlignment="1">
      <alignment/>
    </xf>
    <xf numFmtId="38" fontId="8" fillId="3" borderId="14" xfId="0" applyNumberFormat="1" applyFont="1" applyFill="1" applyBorder="1" applyAlignment="1">
      <alignment/>
    </xf>
    <xf numFmtId="38" fontId="5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right"/>
    </xf>
    <xf numFmtId="38" fontId="8" fillId="0" borderId="3" xfId="15" applyNumberFormat="1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38" fontId="8" fillId="2" borderId="3" xfId="15" applyNumberFormat="1" applyFont="1" applyFill="1" applyBorder="1" applyAlignment="1">
      <alignment horizontal="right"/>
    </xf>
    <xf numFmtId="38" fontId="8" fillId="0" borderId="2" xfId="15" applyNumberFormat="1" applyFont="1" applyBorder="1" applyAlignment="1">
      <alignment horizontal="right"/>
    </xf>
    <xf numFmtId="38" fontId="8" fillId="0" borderId="6" xfId="15" applyNumberFormat="1" applyFont="1" applyBorder="1" applyAlignment="1">
      <alignment horizontal="right"/>
    </xf>
    <xf numFmtId="43" fontId="9" fillId="0" borderId="0" xfId="15" applyFont="1" applyAlignment="1">
      <alignment horizontal="right"/>
    </xf>
    <xf numFmtId="43" fontId="13" fillId="0" borderId="0" xfId="15" applyFont="1" applyAlignment="1">
      <alignment/>
    </xf>
    <xf numFmtId="38" fontId="9" fillId="0" borderId="0" xfId="0" applyNumberFormat="1" applyFont="1" applyBorder="1" applyAlignment="1">
      <alignment/>
    </xf>
    <xf numFmtId="43" fontId="9" fillId="4" borderId="0" xfId="15" applyFont="1" applyFill="1" applyBorder="1" applyAlignment="1">
      <alignment/>
    </xf>
    <xf numFmtId="38" fontId="11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38" fontId="13" fillId="0" borderId="0" xfId="0" applyNumberFormat="1" applyFont="1" applyBorder="1" applyAlignment="1">
      <alignment/>
    </xf>
    <xf numFmtId="38" fontId="13" fillId="4" borderId="0" xfId="0" applyNumberFormat="1" applyFont="1" applyFill="1" applyBorder="1" applyAlignment="1">
      <alignment/>
    </xf>
    <xf numFmtId="43" fontId="13" fillId="4" borderId="0" xfId="15" applyFont="1" applyFill="1" applyBorder="1" applyAlignment="1">
      <alignment/>
    </xf>
    <xf numFmtId="38" fontId="13" fillId="0" borderId="0" xfId="0" applyNumberFormat="1" applyFont="1" applyAlignment="1">
      <alignment/>
    </xf>
    <xf numFmtId="38" fontId="14" fillId="0" borderId="0" xfId="0" applyNumberFormat="1" applyFont="1" applyAlignment="1">
      <alignment/>
    </xf>
    <xf numFmtId="38" fontId="13" fillId="4" borderId="0" xfId="15" applyNumberFormat="1" applyFont="1" applyFill="1" applyBorder="1" applyAlignment="1">
      <alignment/>
    </xf>
    <xf numFmtId="9" fontId="13" fillId="4" borderId="0" xfId="21" applyFont="1" applyFill="1" applyBorder="1" applyAlignment="1">
      <alignment/>
    </xf>
    <xf numFmtId="38" fontId="10" fillId="0" borderId="0" xfId="0" applyNumberFormat="1" applyFont="1" applyAlignment="1">
      <alignment horizontal="left" wrapText="1"/>
    </xf>
    <xf numFmtId="38" fontId="13" fillId="0" borderId="0" xfId="21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5" fillId="0" borderId="0" xfId="0" applyNumberFormat="1" applyFont="1" applyAlignment="1">
      <alignment/>
    </xf>
    <xf numFmtId="38" fontId="15" fillId="4" borderId="0" xfId="0" applyNumberFormat="1" applyFont="1" applyFill="1" applyAlignment="1">
      <alignment/>
    </xf>
    <xf numFmtId="38" fontId="13" fillId="4" borderId="0" xfId="0" applyNumberFormat="1" applyFont="1" applyFill="1" applyAlignment="1">
      <alignment/>
    </xf>
    <xf numFmtId="9" fontId="13" fillId="4" borderId="0" xfId="21" applyFont="1" applyFill="1" applyAlignment="1">
      <alignment/>
    </xf>
    <xf numFmtId="38" fontId="10" fillId="0" borderId="0" xfId="0" applyNumberFormat="1" applyFont="1" applyAlignment="1">
      <alignment horizontal="left" indent="1"/>
    </xf>
    <xf numFmtId="38" fontId="10" fillId="0" borderId="0" xfId="0" applyNumberFormat="1" applyFont="1" applyBorder="1" applyAlignment="1">
      <alignment horizontal="left"/>
    </xf>
    <xf numFmtId="38" fontId="15" fillId="0" borderId="0" xfId="0" applyNumberFormat="1" applyFont="1" applyAlignment="1">
      <alignment horizontal="right"/>
    </xf>
    <xf numFmtId="38" fontId="10" fillId="0" borderId="0" xfId="0" applyNumberFormat="1" applyFont="1" applyBorder="1" applyAlignment="1">
      <alignment horizontal="left" indent="1"/>
    </xf>
    <xf numFmtId="38" fontId="10" fillId="0" borderId="0" xfId="15" applyNumberFormat="1" applyFont="1" applyBorder="1" applyAlignment="1">
      <alignment/>
    </xf>
    <xf numFmtId="38" fontId="10" fillId="0" borderId="11" xfId="0" applyNumberFormat="1" applyFont="1" applyBorder="1" applyAlignment="1">
      <alignment horizontal="left" indent="1"/>
    </xf>
    <xf numFmtId="38" fontId="10" fillId="0" borderId="11" xfId="0" applyNumberFormat="1" applyFont="1" applyBorder="1" applyAlignment="1">
      <alignment/>
    </xf>
    <xf numFmtId="38" fontId="10" fillId="0" borderId="11" xfId="15" applyNumberFormat="1" applyFont="1" applyBorder="1" applyAlignment="1">
      <alignment/>
    </xf>
    <xf numFmtId="38" fontId="6" fillId="0" borderId="11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/>
    </xf>
    <xf numFmtId="38" fontId="6" fillId="0" borderId="11" xfId="15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43" fontId="10" fillId="0" borderId="0" xfId="15" applyFont="1" applyAlignment="1">
      <alignment/>
    </xf>
    <xf numFmtId="38" fontId="10" fillId="0" borderId="11" xfId="0" applyNumberFormat="1" applyFont="1" applyBorder="1" applyAlignment="1">
      <alignment horizontal="left" wrapText="1" indent="1"/>
    </xf>
    <xf numFmtId="38" fontId="5" fillId="0" borderId="0" xfId="0" applyNumberFormat="1" applyFont="1" applyAlignment="1">
      <alignment horizontal="left" vertical="center" wrapText="1"/>
    </xf>
    <xf numFmtId="38" fontId="0" fillId="0" borderId="0" xfId="0" applyNumberFormat="1" applyAlignment="1">
      <alignment vertical="center" wrapText="1"/>
    </xf>
    <xf numFmtId="38" fontId="10" fillId="0" borderId="0" xfId="0" applyNumberFormat="1" applyFont="1" applyAlignment="1">
      <alignment horizontal="left" wrapText="1"/>
    </xf>
    <xf numFmtId="38" fontId="4" fillId="0" borderId="0" xfId="0" applyNumberFormat="1" applyFont="1" applyAlignment="1">
      <alignment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-farm\richardc\P&amp;GA%20Business%20Study\2006\Sept%2006%20EFC%20Report\Final\Sept%20PGA%20Performance%20Report%20101806%20w%20IBIS%20cl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GA%20Business%20Study\Monthly%20Report\PG&amp;A%20DECEMBER%20MMR%2012312005%2013thmo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ouc\Local%20Settings\Temporary%20Internet%20Files\OLK70\Financia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PER\TABLES\LOTUS\Prop99\EXPTB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Attachment C"/>
      <sheetName val="OH Allocation"/>
      <sheetName val="Perfomance Details"/>
      <sheetName val="Allotment Plan"/>
      <sheetName val="Supporting Doc-utilization rate"/>
      <sheetName val="Correction entries"/>
      <sheetName val="Attachment D"/>
    </sheetNames>
    <sheetDataSet>
      <sheetData sheetId="0">
        <row r="27">
          <cell r="D27">
            <v>-531520.5700000003</v>
          </cell>
        </row>
        <row r="43">
          <cell r="C43">
            <v>-66190.04333333333</v>
          </cell>
        </row>
      </sheetData>
      <sheetData sheetId="4">
        <row r="8">
          <cell r="D8">
            <v>3397.7999999999956</v>
          </cell>
          <cell r="E8">
            <v>231917.06</v>
          </cell>
          <cell r="F8">
            <v>4089.5</v>
          </cell>
          <cell r="G8">
            <v>145992.41999999998</v>
          </cell>
          <cell r="H8">
            <v>-10951.11</v>
          </cell>
          <cell r="I8">
            <v>185028.55</v>
          </cell>
          <cell r="J8">
            <v>66299.83</v>
          </cell>
          <cell r="K8">
            <v>125143.84</v>
          </cell>
        </row>
        <row r="9">
          <cell r="D9">
            <v>-0.01999999999679858</v>
          </cell>
          <cell r="E9">
            <v>87984.67</v>
          </cell>
          <cell r="F9">
            <v>73240.31</v>
          </cell>
          <cell r="G9">
            <v>78180.75</v>
          </cell>
          <cell r="H9">
            <v>95488.92</v>
          </cell>
          <cell r="I9">
            <v>68924.37</v>
          </cell>
          <cell r="J9">
            <v>54208.21</v>
          </cell>
          <cell r="K9">
            <v>144721.11</v>
          </cell>
        </row>
        <row r="10">
          <cell r="E10">
            <v>33968.520000000004</v>
          </cell>
          <cell r="F10">
            <v>16718.25</v>
          </cell>
          <cell r="G10">
            <v>7967.1</v>
          </cell>
          <cell r="H10">
            <v>29504.11</v>
          </cell>
          <cell r="I10">
            <v>7445.879999999999</v>
          </cell>
          <cell r="J10">
            <v>20039.83</v>
          </cell>
          <cell r="K10">
            <v>4071.84</v>
          </cell>
        </row>
        <row r="11">
          <cell r="D11">
            <v>36171.56</v>
          </cell>
          <cell r="E11">
            <v>2999.5</v>
          </cell>
          <cell r="F11">
            <v>45959.64000000001</v>
          </cell>
          <cell r="G11">
            <v>61218.21000000001</v>
          </cell>
          <cell r="H11">
            <v>21169.92</v>
          </cell>
          <cell r="I11">
            <v>32920.18</v>
          </cell>
          <cell r="J11">
            <v>51575.05</v>
          </cell>
          <cell r="K11">
            <v>39335.53</v>
          </cell>
        </row>
        <row r="12">
          <cell r="D12">
            <v>17519.89</v>
          </cell>
          <cell r="E12">
            <v>14975.43</v>
          </cell>
          <cell r="F12">
            <v>7756</v>
          </cell>
          <cell r="G12">
            <v>147.83</v>
          </cell>
          <cell r="H12">
            <v>11895.18</v>
          </cell>
          <cell r="I12">
            <v>7971.5</v>
          </cell>
          <cell r="J12">
            <v>10613.3</v>
          </cell>
          <cell r="K12">
            <v>7280.55</v>
          </cell>
        </row>
        <row r="13">
          <cell r="D13">
            <v>4314.07</v>
          </cell>
          <cell r="E13">
            <v>5544.57</v>
          </cell>
          <cell r="F13">
            <v>2905.32</v>
          </cell>
          <cell r="G13">
            <v>5642.28</v>
          </cell>
          <cell r="H13">
            <v>11251.45</v>
          </cell>
          <cell r="I13">
            <v>6501.41</v>
          </cell>
          <cell r="J13">
            <v>3126.57</v>
          </cell>
          <cell r="K13">
            <v>4343.110000000001</v>
          </cell>
        </row>
        <row r="14">
          <cell r="D14">
            <v>7742.82</v>
          </cell>
          <cell r="E14">
            <v>64883.01</v>
          </cell>
          <cell r="F14">
            <v>89757.34</v>
          </cell>
          <cell r="G14">
            <v>57892.53</v>
          </cell>
          <cell r="H14">
            <v>71334.09</v>
          </cell>
          <cell r="I14">
            <v>97967.56</v>
          </cell>
          <cell r="J14">
            <v>49854.14</v>
          </cell>
          <cell r="K14">
            <v>35784.18</v>
          </cell>
        </row>
        <row r="15">
          <cell r="D15">
            <v>-1643.2</v>
          </cell>
          <cell r="E15">
            <v>-1892.25</v>
          </cell>
          <cell r="F15">
            <v>-2077.35</v>
          </cell>
          <cell r="H15">
            <v>-4710.97</v>
          </cell>
          <cell r="I15">
            <v>-2209.35</v>
          </cell>
          <cell r="J15">
            <v>-2071.15</v>
          </cell>
          <cell r="K15">
            <v>-2679.11</v>
          </cell>
        </row>
        <row r="23">
          <cell r="D23">
            <v>109804.90000000001</v>
          </cell>
          <cell r="E23">
            <v>280122.52999999997</v>
          </cell>
          <cell r="F23">
            <v>97114.43000000001</v>
          </cell>
          <cell r="G23">
            <v>145147.78999999995</v>
          </cell>
          <cell r="H23">
            <v>8078.520000000019</v>
          </cell>
          <cell r="I23">
            <v>202822.28</v>
          </cell>
          <cell r="J23">
            <v>273461.80999999994</v>
          </cell>
          <cell r="K23">
            <v>133152.46</v>
          </cell>
        </row>
        <row r="24">
          <cell r="D24">
            <v>4489.95</v>
          </cell>
          <cell r="E24">
            <v>4489.95</v>
          </cell>
          <cell r="F24">
            <v>4489.95</v>
          </cell>
          <cell r="G24">
            <v>4489.95</v>
          </cell>
          <cell r="H24">
            <v>4489.95</v>
          </cell>
          <cell r="J24">
            <v>4094.65</v>
          </cell>
          <cell r="K24">
            <v>0</v>
          </cell>
        </row>
        <row r="25">
          <cell r="D25">
            <v>28960.1</v>
          </cell>
          <cell r="E25">
            <v>51144.72000000001</v>
          </cell>
          <cell r="F25">
            <v>31108.740000000005</v>
          </cell>
          <cell r="G25">
            <v>40139.21</v>
          </cell>
          <cell r="H25">
            <v>34151.130000000005</v>
          </cell>
          <cell r="I25">
            <v>36355.64</v>
          </cell>
          <cell r="J25">
            <v>36165.65</v>
          </cell>
          <cell r="K25">
            <v>31004.11</v>
          </cell>
        </row>
        <row r="26">
          <cell r="D26">
            <v>6956.25</v>
          </cell>
          <cell r="E26">
            <v>7342.2</v>
          </cell>
          <cell r="F26">
            <v>6956.25</v>
          </cell>
          <cell r="G26">
            <v>6956.25</v>
          </cell>
          <cell r="H26">
            <v>6956.25</v>
          </cell>
          <cell r="I26">
            <v>6956.25</v>
          </cell>
          <cell r="J26">
            <v>6956.25</v>
          </cell>
          <cell r="K26">
            <v>6956.25</v>
          </cell>
        </row>
        <row r="27">
          <cell r="D27">
            <v>8012.74</v>
          </cell>
          <cell r="E27">
            <v>8012.74</v>
          </cell>
          <cell r="F27">
            <v>8012.74</v>
          </cell>
          <cell r="G27">
            <v>8012.74</v>
          </cell>
          <cell r="H27">
            <v>8012.74</v>
          </cell>
          <cell r="I27">
            <v>8012.74</v>
          </cell>
          <cell r="J27">
            <v>8012.74</v>
          </cell>
          <cell r="K27">
            <v>8012.74</v>
          </cell>
        </row>
        <row r="28">
          <cell r="D28">
            <v>0</v>
          </cell>
          <cell r="E28">
            <v>108298.89</v>
          </cell>
          <cell r="F28">
            <v>-3.21</v>
          </cell>
          <cell r="G28">
            <v>44121.59000000002</v>
          </cell>
          <cell r="H28">
            <v>129698.46000000002</v>
          </cell>
          <cell r="I28">
            <v>158241.25</v>
          </cell>
          <cell r="J28">
            <v>103069.59</v>
          </cell>
          <cell r="K28">
            <v>102638.95</v>
          </cell>
        </row>
        <row r="29">
          <cell r="D29">
            <v>11965.28</v>
          </cell>
          <cell r="E29">
            <v>18773.15</v>
          </cell>
          <cell r="F29">
            <v>18042.81</v>
          </cell>
          <cell r="G29">
            <v>44366.29</v>
          </cell>
          <cell r="H29">
            <v>11897.29</v>
          </cell>
          <cell r="I29">
            <v>17692.32</v>
          </cell>
          <cell r="J29">
            <v>12490.9</v>
          </cell>
          <cell r="K29">
            <v>11300.26</v>
          </cell>
        </row>
        <row r="40">
          <cell r="C40">
            <v>-513002.2</v>
          </cell>
          <cell r="D40">
            <v>-619324.66</v>
          </cell>
          <cell r="E40">
            <v>-612667.27</v>
          </cell>
          <cell r="F40">
            <v>-567196.58</v>
          </cell>
          <cell r="G40">
            <v>-537572.61</v>
          </cell>
          <cell r="H40">
            <v>-497176.75</v>
          </cell>
          <cell r="I40">
            <v>-514495.79</v>
          </cell>
          <cell r="J40">
            <v>-757054.43</v>
          </cell>
          <cell r="K40">
            <v>-686281.52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"/>
      <sheetName val="Financial Plan "/>
      <sheetName val="Financial 2"/>
      <sheetName val="Financial 1"/>
      <sheetName val="Summary-Att.A"/>
      <sheetName val="FInancial-Att.B"/>
      <sheetName val="Fin History"/>
      <sheetName val="Utilization-Att.C"/>
    </sheetNames>
    <sheetDataSet>
      <sheetData sheetId="1">
        <row r="29">
          <cell r="F29">
            <v>3441585.14</v>
          </cell>
        </row>
        <row r="34">
          <cell r="F34">
            <v>-3629357.85</v>
          </cell>
        </row>
      </sheetData>
      <sheetData sheetId="5">
        <row r="40">
          <cell r="T40">
            <v>-280132.66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Attachment C"/>
      <sheetName val="05 actual"/>
      <sheetName val="06 Base Case"/>
      <sheetName val="Jan 06 Actual"/>
      <sheetName val="Jan Var"/>
      <sheetName val="Var Analysis"/>
      <sheetName val="Scenarios"/>
      <sheetName val="Scenarios Fin Plan"/>
      <sheetName val="05 06 Rates"/>
    </sheetNames>
    <sheetDataSet>
      <sheetData sheetId="0">
        <row r="44">
          <cell r="C44">
            <v>-88070.87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tabSelected="1" workbookViewId="0" topLeftCell="B31">
      <pane xSplit="3" topLeftCell="R2" activePane="topRight" state="frozen"/>
      <selection pane="topLeft" activeCell="C16" sqref="C16"/>
      <selection pane="topRight" activeCell="C66" sqref="C66"/>
    </sheetView>
  </sheetViews>
  <sheetFormatPr defaultColWidth="9.140625" defaultRowHeight="12.75"/>
  <cols>
    <col min="1" max="1" width="2.28125" style="13" customWidth="1"/>
    <col min="2" max="2" width="2.8515625" style="14" customWidth="1"/>
    <col min="3" max="3" width="45.57421875" style="14" customWidth="1"/>
    <col min="4" max="4" width="1.28515625" style="15" customWidth="1"/>
    <col min="5" max="5" width="13.421875" style="17" customWidth="1"/>
    <col min="6" max="6" width="12.140625" style="17" customWidth="1"/>
    <col min="7" max="7" width="12.7109375" style="17" customWidth="1"/>
    <col min="8" max="8" width="12.140625" style="17" customWidth="1"/>
    <col min="9" max="9" width="13.140625" style="17" customWidth="1"/>
    <col min="10" max="10" width="13.00390625" style="17" customWidth="1"/>
    <col min="11" max="11" width="12.00390625" style="17" customWidth="1"/>
    <col min="12" max="12" width="12.140625" style="14" customWidth="1"/>
    <col min="13" max="15" width="11.00390625" style="14" customWidth="1"/>
    <col min="16" max="16" width="11.7109375" style="14" customWidth="1"/>
    <col min="17" max="17" width="2.28125" style="18" customWidth="1"/>
    <col min="18" max="18" width="14.140625" style="14" customWidth="1"/>
    <col min="19" max="19" width="12.57421875" style="14" customWidth="1"/>
    <col min="20" max="20" width="14.140625" style="14" customWidth="1"/>
    <col min="21" max="21" width="15.28125" style="15" hidden="1" customWidth="1"/>
    <col min="22" max="22" width="15.7109375" style="15" hidden="1" customWidth="1"/>
    <col min="23" max="23" width="18.28125" style="15" hidden="1" customWidth="1"/>
    <col min="24" max="24" width="14.28125" style="15" hidden="1" customWidth="1"/>
    <col min="25" max="25" width="9.140625" style="15" customWidth="1"/>
    <col min="26" max="26" width="14.28125" style="21" customWidth="1"/>
    <col min="27" max="27" width="10.28125" style="15" bestFit="1" customWidth="1"/>
    <col min="28" max="16384" width="9.140625" style="15" customWidth="1"/>
  </cols>
  <sheetData>
    <row r="1" spans="1:26" s="11" customFormat="1" ht="24">
      <c r="A1" s="1"/>
      <c r="B1" s="2"/>
      <c r="C1" s="2"/>
      <c r="D1" s="3"/>
      <c r="E1" s="4" t="s">
        <v>55</v>
      </c>
      <c r="F1" s="4" t="s">
        <v>56</v>
      </c>
      <c r="G1" s="4" t="s">
        <v>57</v>
      </c>
      <c r="H1" s="5" t="s">
        <v>62</v>
      </c>
      <c r="I1" s="5" t="s">
        <v>63</v>
      </c>
      <c r="J1" s="5" t="s">
        <v>64</v>
      </c>
      <c r="K1" s="5" t="s">
        <v>65</v>
      </c>
      <c r="L1" s="6" t="s">
        <v>66</v>
      </c>
      <c r="M1" s="6" t="s">
        <v>67</v>
      </c>
      <c r="N1" s="6" t="s">
        <v>0</v>
      </c>
      <c r="O1" s="6" t="s">
        <v>1</v>
      </c>
      <c r="P1" s="7" t="s">
        <v>2</v>
      </c>
      <c r="Q1" s="8"/>
      <c r="R1" s="6" t="s">
        <v>3</v>
      </c>
      <c r="S1" s="9" t="s">
        <v>58</v>
      </c>
      <c r="T1" s="10" t="s">
        <v>4</v>
      </c>
      <c r="U1" s="11" t="s">
        <v>5</v>
      </c>
      <c r="V1" s="11" t="s">
        <v>6</v>
      </c>
      <c r="W1" s="11" t="s">
        <v>7</v>
      </c>
      <c r="Z1" s="12"/>
    </row>
    <row r="2" spans="1:20" ht="12.75" collapsed="1">
      <c r="A2" s="13" t="s">
        <v>8</v>
      </c>
      <c r="E2" s="16"/>
      <c r="R2" s="19"/>
      <c r="T2" s="20"/>
    </row>
    <row r="3" spans="2:23" ht="12.75">
      <c r="B3" s="14" t="s">
        <v>9</v>
      </c>
      <c r="E3" s="22">
        <f>E17+E23+E29+E35+E39+E48</f>
        <v>111808.12</v>
      </c>
      <c r="F3" s="22">
        <f aca="true" t="shared" si="0" ref="F3:P3">F17+F23+F29+F35+F39+F48+F43</f>
        <v>67502.92</v>
      </c>
      <c r="G3" s="22">
        <f t="shared" si="0"/>
        <v>440380.51</v>
      </c>
      <c r="H3" s="22">
        <f t="shared" si="0"/>
        <v>238349.01</v>
      </c>
      <c r="I3" s="22">
        <f t="shared" si="0"/>
        <v>357041.12</v>
      </c>
      <c r="J3" s="22">
        <f t="shared" si="0"/>
        <v>224981.59</v>
      </c>
      <c r="K3" s="22">
        <f t="shared" si="0"/>
        <v>404550.1</v>
      </c>
      <c r="L3" s="22">
        <f t="shared" si="0"/>
        <v>253645.78000000006</v>
      </c>
      <c r="M3" s="22">
        <f t="shared" si="0"/>
        <v>358001.05</v>
      </c>
      <c r="N3" s="22">
        <f t="shared" si="0"/>
        <v>304238.31854664587</v>
      </c>
      <c r="O3" s="22">
        <f t="shared" si="0"/>
        <v>452779.8611526221</v>
      </c>
      <c r="P3" s="22">
        <f t="shared" si="0"/>
        <v>603302.1959624244</v>
      </c>
      <c r="R3" s="23">
        <f>SUM(E3:P3)</f>
        <v>3816580.5756616923</v>
      </c>
      <c r="S3" s="24"/>
      <c r="T3" s="25">
        <f>T17+T23+T29+T35+T39+T48</f>
        <v>3816580.5756616923</v>
      </c>
      <c r="U3" s="26">
        <f>U17+U23+U29+U35+U39+U48</f>
        <v>327405.61213847436</v>
      </c>
      <c r="V3" s="27" t="e">
        <f>W3-#REF!</f>
        <v>#REF!</v>
      </c>
      <c r="W3" s="27">
        <f>'[2]Financial Plan '!F29</f>
        <v>3441585.14</v>
      </c>
    </row>
    <row r="4" spans="2:24" ht="13.5" thickBot="1">
      <c r="B4" s="14" t="s">
        <v>10</v>
      </c>
      <c r="E4" s="28">
        <f aca="true" t="shared" si="1" ref="E4:P4">E18+E24+E30+E36+E44+E40+E49</f>
        <v>-177998.16333333333</v>
      </c>
      <c r="F4" s="28">
        <f t="shared" si="1"/>
        <v>-170189.22</v>
      </c>
      <c r="G4" s="28">
        <f t="shared" si="1"/>
        <v>-478184.18000000005</v>
      </c>
      <c r="H4" s="28">
        <f t="shared" si="1"/>
        <v>-165721.71000000002</v>
      </c>
      <c r="I4" s="28">
        <f t="shared" si="1"/>
        <v>-293233.81999999995</v>
      </c>
      <c r="J4" s="28">
        <f t="shared" si="1"/>
        <v>-203284.34000000005</v>
      </c>
      <c r="K4" s="28">
        <f t="shared" si="1"/>
        <v>-434570.39666666667</v>
      </c>
      <c r="L4" s="28">
        <f t="shared" si="1"/>
        <v>-444251.58999999997</v>
      </c>
      <c r="M4" s="28">
        <f t="shared" si="1"/>
        <v>-293064.77</v>
      </c>
      <c r="N4" s="28">
        <f t="shared" si="1"/>
        <v>-293353.8333333334</v>
      </c>
      <c r="O4" s="28">
        <f t="shared" si="1"/>
        <v>-293353.8333333334</v>
      </c>
      <c r="P4" s="28">
        <f t="shared" si="1"/>
        <v>-1039286.8399999999</v>
      </c>
      <c r="R4" s="29">
        <f>SUM(E4:P4)</f>
        <v>-4286492.696666667</v>
      </c>
      <c r="S4" s="30">
        <f>SUM(S15:S49)-S45</f>
        <v>0</v>
      </c>
      <c r="T4" s="31">
        <f>T18+T24+T30+T36+T44+T40+T49</f>
        <v>-4286492.696666667</v>
      </c>
      <c r="U4" s="26">
        <f>U18+U24+U30+U36+U44+U40+U49</f>
        <v>-374366.7144119769</v>
      </c>
      <c r="V4" s="27" t="e">
        <f>W4-#REF!</f>
        <v>#REF!</v>
      </c>
      <c r="W4" s="27">
        <f>'[2]Financial Plan '!F34</f>
        <v>-3629357.85</v>
      </c>
      <c r="X4" s="32"/>
    </row>
    <row r="5" spans="1:23" ht="13.5" thickTop="1">
      <c r="A5" s="14"/>
      <c r="B5" s="14" t="s">
        <v>11</v>
      </c>
      <c r="E5" s="33">
        <f aca="true" t="shared" si="2" ref="E5:P5">E3+E4</f>
        <v>-66190.04333333333</v>
      </c>
      <c r="F5" s="33">
        <f t="shared" si="2"/>
        <v>-102686.3</v>
      </c>
      <c r="G5" s="33">
        <f t="shared" si="2"/>
        <v>-37803.67000000004</v>
      </c>
      <c r="H5" s="33">
        <f t="shared" si="2"/>
        <v>72627.29999999999</v>
      </c>
      <c r="I5" s="33">
        <f t="shared" si="2"/>
        <v>63807.30000000005</v>
      </c>
      <c r="J5" s="33">
        <f t="shared" si="2"/>
        <v>21697.24999999994</v>
      </c>
      <c r="K5" s="33">
        <f t="shared" si="2"/>
        <v>-30020.29666666669</v>
      </c>
      <c r="L5" s="33">
        <f t="shared" si="2"/>
        <v>-190605.8099999999</v>
      </c>
      <c r="M5" s="33">
        <f t="shared" si="2"/>
        <v>64936.27999999997</v>
      </c>
      <c r="N5" s="33">
        <f t="shared" si="2"/>
        <v>10884.485213312495</v>
      </c>
      <c r="O5" s="33">
        <f t="shared" si="2"/>
        <v>159426.02781928872</v>
      </c>
      <c r="P5" s="33">
        <f t="shared" si="2"/>
        <v>-435984.64403757546</v>
      </c>
      <c r="R5" s="34">
        <f>SUM(E5:P5)</f>
        <v>-469912.1210049743</v>
      </c>
      <c r="S5" s="35"/>
      <c r="T5" s="36">
        <f>T3+T4</f>
        <v>-469912.12100497494</v>
      </c>
      <c r="U5" s="26">
        <f>U3+U4</f>
        <v>-46961.10227350256</v>
      </c>
      <c r="V5" s="27" t="e">
        <f>V3+V4</f>
        <v>#REF!</v>
      </c>
      <c r="W5" s="37">
        <f>W3+W4</f>
        <v>-187772.70999999996</v>
      </c>
    </row>
    <row r="6" spans="2:23" ht="12.75">
      <c r="B6" s="14" t="s">
        <v>12</v>
      </c>
      <c r="E6" s="22">
        <f>-'[3]Attachment A'!C44</f>
        <v>88070.87</v>
      </c>
      <c r="F6" s="22">
        <f aca="true" t="shared" si="3" ref="F6:P6">F3/2</f>
        <v>33751.46</v>
      </c>
      <c r="G6" s="22">
        <f t="shared" si="3"/>
        <v>220190.255</v>
      </c>
      <c r="H6" s="22">
        <f t="shared" si="3"/>
        <v>119174.505</v>
      </c>
      <c r="I6" s="22">
        <f t="shared" si="3"/>
        <v>178520.56</v>
      </c>
      <c r="J6" s="22">
        <f t="shared" si="3"/>
        <v>112490.795</v>
      </c>
      <c r="K6" s="22">
        <f t="shared" si="3"/>
        <v>202275.05</v>
      </c>
      <c r="L6" s="22">
        <f t="shared" si="3"/>
        <v>126822.89000000003</v>
      </c>
      <c r="M6" s="22">
        <f t="shared" si="3"/>
        <v>179000.525</v>
      </c>
      <c r="N6" s="22">
        <f t="shared" si="3"/>
        <v>152119.15927332293</v>
      </c>
      <c r="O6" s="22">
        <f t="shared" si="3"/>
        <v>226389.93057631105</v>
      </c>
      <c r="P6" s="22">
        <f t="shared" si="3"/>
        <v>301651.0979812122</v>
      </c>
      <c r="R6" s="23"/>
      <c r="S6" s="24"/>
      <c r="T6" s="25"/>
      <c r="U6" s="26"/>
      <c r="V6" s="27"/>
      <c r="W6" s="37"/>
    </row>
    <row r="7" spans="2:23" ht="12.75">
      <c r="B7" s="14" t="s">
        <v>13</v>
      </c>
      <c r="E7" s="22">
        <f>'[1]Perfomance Details'!C40</f>
        <v>-513002.2</v>
      </c>
      <c r="F7" s="22">
        <f>'[1]Perfomance Details'!D40</f>
        <v>-619324.66</v>
      </c>
      <c r="G7" s="22">
        <f>'[1]Perfomance Details'!E40</f>
        <v>-612667.27</v>
      </c>
      <c r="H7" s="22">
        <f>'[1]Perfomance Details'!F40</f>
        <v>-567196.58</v>
      </c>
      <c r="I7" s="22">
        <f>'[1]Perfomance Details'!G40</f>
        <v>-537572.61</v>
      </c>
      <c r="J7" s="22">
        <f>'[1]Perfomance Details'!H40</f>
        <v>-497176.75</v>
      </c>
      <c r="K7" s="22">
        <f>'[1]Perfomance Details'!I40</f>
        <v>-514495.79</v>
      </c>
      <c r="L7" s="22">
        <f>'[1]Perfomance Details'!J40</f>
        <v>-757054.43</v>
      </c>
      <c r="M7" s="22">
        <f>'[1]Perfomance Details'!K40</f>
        <v>-686281.52</v>
      </c>
      <c r="N7" s="22">
        <f>M7+N5-N6+M6</f>
        <v>-648515.6690600103</v>
      </c>
      <c r="O7" s="22">
        <f>N7+O5-O6+N6</f>
        <v>-563360.4125437097</v>
      </c>
      <c r="P7" s="22">
        <f>O7+P5-P6+O6</f>
        <v>-1074606.2239861866</v>
      </c>
      <c r="R7" s="23">
        <f>P7</f>
        <v>-1074606.2239861866</v>
      </c>
      <c r="S7" s="38"/>
      <c r="T7" s="39">
        <f>R7</f>
        <v>-1074606.2239861866</v>
      </c>
      <c r="U7" s="40">
        <f>AVERAGE(E7:P7)</f>
        <v>-632604.5096324923</v>
      </c>
      <c r="V7" s="27"/>
      <c r="W7" s="27"/>
    </row>
    <row r="8" spans="2:23" ht="12.75">
      <c r="B8" s="14" t="s">
        <v>14</v>
      </c>
      <c r="E8" s="22">
        <f>'[1]Attachment A'!D27+'[1]Attachment A'!C43</f>
        <v>-597710.6133333336</v>
      </c>
      <c r="F8" s="22">
        <f aca="true" t="shared" si="4" ref="F8:P8">E8+F5</f>
        <v>-700396.9133333337</v>
      </c>
      <c r="G8" s="22">
        <f t="shared" si="4"/>
        <v>-738200.5833333337</v>
      </c>
      <c r="H8" s="22">
        <f t="shared" si="4"/>
        <v>-665573.2833333337</v>
      </c>
      <c r="I8" s="22">
        <f t="shared" si="4"/>
        <v>-601765.9833333336</v>
      </c>
      <c r="J8" s="22">
        <f t="shared" si="4"/>
        <v>-580068.7333333336</v>
      </c>
      <c r="K8" s="22">
        <f t="shared" si="4"/>
        <v>-610089.0300000003</v>
      </c>
      <c r="L8" s="22">
        <f t="shared" si="4"/>
        <v>-800694.8400000002</v>
      </c>
      <c r="M8" s="22">
        <f t="shared" si="4"/>
        <v>-735758.5600000003</v>
      </c>
      <c r="N8" s="22">
        <f t="shared" si="4"/>
        <v>-724874.0747866877</v>
      </c>
      <c r="O8" s="22">
        <f t="shared" si="4"/>
        <v>-565448.0469673991</v>
      </c>
      <c r="P8" s="22">
        <f t="shared" si="4"/>
        <v>-1001432.6910049745</v>
      </c>
      <c r="R8" s="23">
        <f>P8</f>
        <v>-1001432.6910049745</v>
      </c>
      <c r="S8" s="41"/>
      <c r="T8" s="42">
        <f>R8</f>
        <v>-1001432.6910049745</v>
      </c>
      <c r="U8" s="43"/>
      <c r="V8" s="27"/>
      <c r="W8" s="27">
        <f>-343747+W5</f>
        <v>-531519.71</v>
      </c>
    </row>
    <row r="9" spans="2:23" ht="12.75" hidden="1">
      <c r="B9" s="14" t="s">
        <v>15</v>
      </c>
      <c r="E9" s="22">
        <f aca="true" t="shared" si="5" ref="E9:N9">-E7</f>
        <v>513002.2</v>
      </c>
      <c r="F9" s="22">
        <f t="shared" si="5"/>
        <v>619324.66</v>
      </c>
      <c r="G9" s="22">
        <f t="shared" si="5"/>
        <v>612667.27</v>
      </c>
      <c r="H9" s="22">
        <f t="shared" si="5"/>
        <v>567196.58</v>
      </c>
      <c r="I9" s="22">
        <f t="shared" si="5"/>
        <v>537572.61</v>
      </c>
      <c r="J9" s="22">
        <f t="shared" si="5"/>
        <v>497176.75</v>
      </c>
      <c r="K9" s="22">
        <f t="shared" si="5"/>
        <v>514495.79</v>
      </c>
      <c r="L9" s="22">
        <f t="shared" si="5"/>
        <v>757054.43</v>
      </c>
      <c r="M9" s="22">
        <f t="shared" si="5"/>
        <v>686281.52</v>
      </c>
      <c r="N9" s="22">
        <f t="shared" si="5"/>
        <v>648515.6690600103</v>
      </c>
      <c r="O9" s="22"/>
      <c r="P9" s="22">
        <f>-'[2]FInancial-Att.B'!T40</f>
        <v>280132.66</v>
      </c>
      <c r="R9" s="23">
        <f>P9</f>
        <v>280132.66</v>
      </c>
      <c r="S9" s="38"/>
      <c r="T9" s="39"/>
      <c r="U9" s="40">
        <f>AVERAGE(E9:P9)</f>
        <v>566674.5580963646</v>
      </c>
      <c r="V9" s="27"/>
      <c r="W9" s="27"/>
    </row>
    <row r="10" spans="2:23" ht="12.75" hidden="1">
      <c r="B10" s="14" t="s">
        <v>16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R10" s="23">
        <f>SUM(E10:P10)</f>
        <v>0</v>
      </c>
      <c r="S10" s="38"/>
      <c r="T10" s="39"/>
      <c r="U10" s="40" t="e">
        <f>AVERAGE(E10:P10)</f>
        <v>#DIV/0!</v>
      </c>
      <c r="V10" s="27"/>
      <c r="W10" s="27"/>
    </row>
    <row r="11" spans="5:23" ht="3.75" customHeight="1">
      <c r="E11" s="1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R11" s="19"/>
      <c r="S11" s="18"/>
      <c r="T11" s="20"/>
      <c r="U11" s="18"/>
      <c r="V11" s="45"/>
      <c r="W11" s="45"/>
    </row>
    <row r="12" spans="1:26" s="11" customFormat="1" ht="12.75">
      <c r="A12" s="115" t="s">
        <v>17</v>
      </c>
      <c r="B12" s="116"/>
      <c r="C12" s="116"/>
      <c r="E12" s="46"/>
      <c r="F12" s="47"/>
      <c r="G12" s="47"/>
      <c r="H12" s="47"/>
      <c r="I12" s="47"/>
      <c r="J12" s="47"/>
      <c r="K12" s="47"/>
      <c r="L12" s="48"/>
      <c r="M12" s="48"/>
      <c r="N12" s="48"/>
      <c r="O12" s="48"/>
      <c r="P12" s="48"/>
      <c r="Q12" s="49"/>
      <c r="R12" s="50"/>
      <c r="S12" s="51"/>
      <c r="T12" s="52"/>
      <c r="U12" s="51"/>
      <c r="V12" s="53"/>
      <c r="W12" s="53"/>
      <c r="Z12" s="12"/>
    </row>
    <row r="13" spans="1:21" ht="12.75">
      <c r="A13" s="13" t="s">
        <v>18</v>
      </c>
      <c r="E13" s="54"/>
      <c r="R13" s="19"/>
      <c r="T13" s="20"/>
      <c r="U13" s="14"/>
    </row>
    <row r="14" spans="2:21" ht="12.75">
      <c r="B14" s="14" t="s">
        <v>19</v>
      </c>
      <c r="E14" s="16"/>
      <c r="R14" s="19"/>
      <c r="T14" s="20"/>
      <c r="U14" s="14"/>
    </row>
    <row r="15" spans="3:21" ht="12.75" hidden="1">
      <c r="C15" s="14" t="s">
        <v>20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R15" s="56" t="s">
        <v>21</v>
      </c>
      <c r="S15" s="38"/>
      <c r="T15" s="39"/>
      <c r="U15" s="40" t="e">
        <f>AVERAGE(E15:P15)</f>
        <v>#DIV/0!</v>
      </c>
    </row>
    <row r="16" spans="3:21" ht="12.75" hidden="1">
      <c r="C16" s="14" t="s">
        <v>22</v>
      </c>
      <c r="E16" s="55" t="s">
        <v>21</v>
      </c>
      <c r="F16" s="55" t="s">
        <v>21</v>
      </c>
      <c r="G16" s="55" t="s">
        <v>21</v>
      </c>
      <c r="H16" s="55" t="s">
        <v>21</v>
      </c>
      <c r="I16" s="55" t="s">
        <v>21</v>
      </c>
      <c r="J16" s="55" t="s">
        <v>21</v>
      </c>
      <c r="K16" s="55" t="s">
        <v>21</v>
      </c>
      <c r="L16" s="55" t="s">
        <v>21</v>
      </c>
      <c r="M16" s="55" t="s">
        <v>21</v>
      </c>
      <c r="N16" s="55" t="s">
        <v>21</v>
      </c>
      <c r="O16" s="55" t="s">
        <v>21</v>
      </c>
      <c r="P16" s="55" t="s">
        <v>21</v>
      </c>
      <c r="R16" s="56" t="s">
        <v>21</v>
      </c>
      <c r="S16" s="38"/>
      <c r="T16" s="39"/>
      <c r="U16" s="40" t="e">
        <f>AVERAGE(E16:P16)</f>
        <v>#DIV/0!</v>
      </c>
    </row>
    <row r="17" spans="3:21" ht="12.75">
      <c r="C17" s="14" t="s">
        <v>23</v>
      </c>
      <c r="E17" s="22">
        <v>37190</v>
      </c>
      <c r="F17" s="22">
        <f>'[1]Perfomance Details'!D8+'[1]Perfomance Details'!D9</f>
        <v>3397.779999999999</v>
      </c>
      <c r="G17" s="22">
        <f>'[1]Perfomance Details'!E8+'[1]Perfomance Details'!E9</f>
        <v>319901.73</v>
      </c>
      <c r="H17" s="22">
        <f>'[1]Perfomance Details'!F8+'[1]Perfomance Details'!F9</f>
        <v>77329.81</v>
      </c>
      <c r="I17" s="22">
        <f>'[1]Perfomance Details'!G8+'[1]Perfomance Details'!G9</f>
        <v>224173.16999999998</v>
      </c>
      <c r="J17" s="22">
        <f>'[1]Perfomance Details'!H8+'[1]Perfomance Details'!H9</f>
        <v>84537.81</v>
      </c>
      <c r="K17" s="22">
        <f>'[1]Perfomance Details'!I8+'[1]Perfomance Details'!I9</f>
        <v>253952.91999999998</v>
      </c>
      <c r="L17" s="22">
        <f>'[1]Perfomance Details'!J8+'[1]Perfomance Details'!J9</f>
        <v>120508.04000000001</v>
      </c>
      <c r="M17" s="22">
        <f>'[1]Perfomance Details'!K8+'[1]Perfomance Details'!K9</f>
        <v>269864.94999999995</v>
      </c>
      <c r="N17" s="22">
        <v>134669.60424563225</v>
      </c>
      <c r="O17" s="22">
        <v>249797.92972982337</v>
      </c>
      <c r="P17" s="22">
        <v>322985.37517164706</v>
      </c>
      <c r="R17" s="23">
        <f>SUM(E17:P17)</f>
        <v>2098309.1191471023</v>
      </c>
      <c r="S17" s="38">
        <f>W54</f>
        <v>-12579.413024478461</v>
      </c>
      <c r="T17" s="39">
        <f>R17+S17</f>
        <v>2085729.706122624</v>
      </c>
      <c r="U17" s="40">
        <f>AVERAGE(E17:P17)</f>
        <v>174859.09326225854</v>
      </c>
    </row>
    <row r="18" spans="3:21" ht="13.5" thickBot="1">
      <c r="C18" s="14" t="s">
        <v>10</v>
      </c>
      <c r="E18" s="28">
        <v>-69253.46</v>
      </c>
      <c r="F18" s="28">
        <f>-'[1]Perfomance Details'!D23</f>
        <v>-109804.90000000001</v>
      </c>
      <c r="G18" s="28">
        <f>-'[1]Perfomance Details'!E23</f>
        <v>-280122.52999999997</v>
      </c>
      <c r="H18" s="28">
        <f>-'[1]Perfomance Details'!F23</f>
        <v>-97114.43000000001</v>
      </c>
      <c r="I18" s="28">
        <f>-'[1]Perfomance Details'!G23</f>
        <v>-145147.78999999995</v>
      </c>
      <c r="J18" s="28">
        <f>-'[1]Perfomance Details'!H23</f>
        <v>-8078.520000000019</v>
      </c>
      <c r="K18" s="28">
        <f>-'[1]Perfomance Details'!I23</f>
        <v>-202822.28</v>
      </c>
      <c r="L18" s="28">
        <f>-'[1]Perfomance Details'!J23</f>
        <v>-273461.80999999994</v>
      </c>
      <c r="M18" s="28">
        <f>-'[1]Perfomance Details'!K23</f>
        <v>-133152.46</v>
      </c>
      <c r="N18" s="28">
        <f>-(1625492-212518)/12</f>
        <v>-117747.83333333333</v>
      </c>
      <c r="O18" s="28">
        <f>-(1625492-212518)/12</f>
        <v>-117747.83333333333</v>
      </c>
      <c r="P18" s="28">
        <f>-(1625492-212518)/12-212518-14495</f>
        <v>-344760.8333333333</v>
      </c>
      <c r="R18" s="29">
        <f>SUM(E18:P18)</f>
        <v>-1899214.6799999997</v>
      </c>
      <c r="S18" s="57">
        <f>Z54+R41</f>
        <v>-413776.2190817349</v>
      </c>
      <c r="T18" s="58">
        <f>R18+S18</f>
        <v>-2312990.8990817345</v>
      </c>
      <c r="U18" s="59">
        <f>AVERAGE(E18:P18)</f>
        <v>-158267.88999999998</v>
      </c>
    </row>
    <row r="19" spans="3:21" ht="13.5" thickTop="1">
      <c r="C19" s="14" t="s">
        <v>11</v>
      </c>
      <c r="E19" s="33">
        <f aca="true" t="shared" si="6" ref="E19:P19">SUM(E17:E18)</f>
        <v>-32063.460000000006</v>
      </c>
      <c r="F19" s="33">
        <f t="shared" si="6"/>
        <v>-106407.12000000001</v>
      </c>
      <c r="G19" s="33">
        <f t="shared" si="6"/>
        <v>39779.20000000001</v>
      </c>
      <c r="H19" s="33">
        <f t="shared" si="6"/>
        <v>-19784.62000000001</v>
      </c>
      <c r="I19" s="33">
        <f t="shared" si="6"/>
        <v>79025.38000000003</v>
      </c>
      <c r="J19" s="33">
        <f t="shared" si="6"/>
        <v>76459.28999999998</v>
      </c>
      <c r="K19" s="33">
        <f t="shared" si="6"/>
        <v>51130.639999999985</v>
      </c>
      <c r="L19" s="33">
        <f t="shared" si="6"/>
        <v>-152953.76999999993</v>
      </c>
      <c r="M19" s="33">
        <f t="shared" si="6"/>
        <v>136712.48999999996</v>
      </c>
      <c r="N19" s="33">
        <f t="shared" si="6"/>
        <v>16921.770912298918</v>
      </c>
      <c r="O19" s="33">
        <f t="shared" si="6"/>
        <v>132050.09639649006</v>
      </c>
      <c r="P19" s="33">
        <f t="shared" si="6"/>
        <v>-21775.458161686256</v>
      </c>
      <c r="R19" s="34">
        <f>SUM(E19:P19)</f>
        <v>199094.43914710273</v>
      </c>
      <c r="S19" s="60"/>
      <c r="T19" s="61">
        <f>T17+T18</f>
        <v>-227261.19295911049</v>
      </c>
      <c r="U19" s="62">
        <f>AVERAGE(E19:P19)</f>
        <v>16591.20326225856</v>
      </c>
    </row>
    <row r="20" spans="2:21" ht="12.75">
      <c r="B20" s="14" t="s">
        <v>24</v>
      </c>
      <c r="E20" s="16"/>
      <c r="R20" s="19"/>
      <c r="T20" s="20"/>
      <c r="U20" s="14"/>
    </row>
    <row r="21" spans="3:21" ht="12.75" hidden="1">
      <c r="C21" s="14" t="s">
        <v>20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R21" s="56" t="s">
        <v>21</v>
      </c>
      <c r="S21" s="38"/>
      <c r="T21" s="39"/>
      <c r="U21" s="40" t="e">
        <f>AVERAGE(E21:P21)</f>
        <v>#DIV/0!</v>
      </c>
    </row>
    <row r="22" spans="3:21" ht="12.75" hidden="1">
      <c r="C22" s="14" t="s">
        <v>25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R22" s="56" t="s">
        <v>21</v>
      </c>
      <c r="S22" s="63"/>
      <c r="T22" s="64"/>
      <c r="U22" s="65" t="s">
        <v>21</v>
      </c>
    </row>
    <row r="23" spans="3:21" ht="12.75">
      <c r="C23" s="14" t="s">
        <v>23</v>
      </c>
      <c r="E23" s="22">
        <v>26343.02</v>
      </c>
      <c r="F23" s="22">
        <f>'[1]Perfomance Details'!D11</f>
        <v>36171.56</v>
      </c>
      <c r="G23" s="22">
        <f>'[1]Perfomance Details'!E11</f>
        <v>2999.5</v>
      </c>
      <c r="H23" s="22">
        <f>'[1]Perfomance Details'!F11</f>
        <v>45959.64000000001</v>
      </c>
      <c r="I23" s="22">
        <f>'[1]Perfomance Details'!G11</f>
        <v>61218.21000000001</v>
      </c>
      <c r="J23" s="22">
        <f>'[1]Perfomance Details'!H11</f>
        <v>21169.92</v>
      </c>
      <c r="K23" s="22">
        <f>'[1]Perfomance Details'!I11</f>
        <v>32920.18</v>
      </c>
      <c r="L23" s="22">
        <f>'[1]Perfomance Details'!J11</f>
        <v>51575.05</v>
      </c>
      <c r="M23" s="22">
        <f>'[1]Perfomance Details'!K11</f>
        <v>39335.53</v>
      </c>
      <c r="N23" s="22">
        <v>38575</v>
      </c>
      <c r="O23" s="22">
        <v>61509</v>
      </c>
      <c r="P23" s="22">
        <v>84378</v>
      </c>
      <c r="R23" s="23">
        <f>SUM(E23:P23)</f>
        <v>502154.61</v>
      </c>
      <c r="S23" s="38">
        <f>W55</f>
        <v>-3480.796646429583</v>
      </c>
      <c r="T23" s="39">
        <f>R23+S23</f>
        <v>498673.8133535704</v>
      </c>
      <c r="U23" s="40">
        <f>AVERAGE(E23:P23)</f>
        <v>41846.2175</v>
      </c>
    </row>
    <row r="24" spans="3:21" ht="13.5" thickBot="1">
      <c r="C24" s="14" t="s">
        <v>10</v>
      </c>
      <c r="E24" s="28">
        <v>-77993.58333333334</v>
      </c>
      <c r="F24" s="28">
        <f>-'[1]Perfomance Details'!D25</f>
        <v>-28960.1</v>
      </c>
      <c r="G24" s="28">
        <f>-'[1]Perfomance Details'!E25</f>
        <v>-51144.72000000001</v>
      </c>
      <c r="H24" s="28">
        <f>-'[1]Perfomance Details'!F25</f>
        <v>-31108.740000000005</v>
      </c>
      <c r="I24" s="28">
        <f>-'[1]Perfomance Details'!G25</f>
        <v>-40139.21</v>
      </c>
      <c r="J24" s="28">
        <f>-'[1]Perfomance Details'!H25</f>
        <v>-34151.130000000005</v>
      </c>
      <c r="K24" s="28">
        <f>-'[1]Perfomance Details'!I25</f>
        <v>-36355.64</v>
      </c>
      <c r="L24" s="28">
        <f>-'[1]Perfomance Details'!J25</f>
        <v>-36165.65</v>
      </c>
      <c r="M24" s="28">
        <f>-'[1]Perfomance Details'!K25</f>
        <v>-31004.11</v>
      </c>
      <c r="N24" s="28">
        <f>-(495604-75681)/12</f>
        <v>-34993.583333333336</v>
      </c>
      <c r="O24" s="28">
        <f>-(495604-75681)/12</f>
        <v>-34993.583333333336</v>
      </c>
      <c r="P24" s="28">
        <f>-(495604-75681)/12-75681</f>
        <v>-110674.58333333334</v>
      </c>
      <c r="R24" s="29">
        <f>SUM(E24:P24)</f>
        <v>-547684.6333333334</v>
      </c>
      <c r="S24" s="57">
        <f>Z55</f>
        <v>-92333.38253745409</v>
      </c>
      <c r="T24" s="58">
        <f>R24+S24</f>
        <v>-640018.0158707876</v>
      </c>
      <c r="U24" s="59">
        <f>AVERAGE(E24:P24)</f>
        <v>-45640.38611111112</v>
      </c>
    </row>
    <row r="25" spans="3:21" ht="13.5" thickTop="1">
      <c r="C25" s="14" t="s">
        <v>11</v>
      </c>
      <c r="E25" s="33">
        <f aca="true" t="shared" si="7" ref="E25:P25">SUM(E23:E24)</f>
        <v>-51650.56333333334</v>
      </c>
      <c r="F25" s="33">
        <f t="shared" si="7"/>
        <v>7211.459999999999</v>
      </c>
      <c r="G25" s="33">
        <f t="shared" si="7"/>
        <v>-48145.22000000001</v>
      </c>
      <c r="H25" s="33">
        <f t="shared" si="7"/>
        <v>14850.900000000001</v>
      </c>
      <c r="I25" s="33">
        <f t="shared" si="7"/>
        <v>21079.000000000007</v>
      </c>
      <c r="J25" s="33">
        <f t="shared" si="7"/>
        <v>-12981.210000000006</v>
      </c>
      <c r="K25" s="33">
        <f t="shared" si="7"/>
        <v>-3435.459999999999</v>
      </c>
      <c r="L25" s="33">
        <f t="shared" si="7"/>
        <v>15409.400000000001</v>
      </c>
      <c r="M25" s="33">
        <f t="shared" si="7"/>
        <v>8331.419999999998</v>
      </c>
      <c r="N25" s="33">
        <f t="shared" si="7"/>
        <v>3581.4166666666642</v>
      </c>
      <c r="O25" s="33">
        <f t="shared" si="7"/>
        <v>26515.416666666664</v>
      </c>
      <c r="P25" s="33">
        <f t="shared" si="7"/>
        <v>-26296.583333333343</v>
      </c>
      <c r="R25" s="34">
        <f>SUM(E25:P25)</f>
        <v>-45530.02333333334</v>
      </c>
      <c r="S25" s="60"/>
      <c r="T25" s="61">
        <f>T23+T24</f>
        <v>-141344.20251721714</v>
      </c>
      <c r="U25" s="62">
        <f>AVERAGE(E25:P25)</f>
        <v>-3794.1686111111117</v>
      </c>
    </row>
    <row r="26" spans="2:21" ht="13.5">
      <c r="B26" s="14" t="s">
        <v>59</v>
      </c>
      <c r="E26" s="16"/>
      <c r="R26" s="19"/>
      <c r="T26" s="20"/>
      <c r="U26" s="14"/>
    </row>
    <row r="27" spans="3:21" ht="12.75" hidden="1">
      <c r="C27" s="14" t="s">
        <v>20</v>
      </c>
      <c r="E27" s="55" t="s">
        <v>21</v>
      </c>
      <c r="F27" s="55" t="s">
        <v>21</v>
      </c>
      <c r="G27" s="55" t="s">
        <v>21</v>
      </c>
      <c r="H27" s="55" t="s">
        <v>21</v>
      </c>
      <c r="I27" s="55" t="s">
        <v>21</v>
      </c>
      <c r="J27" s="55" t="s">
        <v>21</v>
      </c>
      <c r="K27" s="55" t="s">
        <v>21</v>
      </c>
      <c r="L27" s="55" t="s">
        <v>21</v>
      </c>
      <c r="M27" s="55" t="s">
        <v>21</v>
      </c>
      <c r="N27" s="55" t="s">
        <v>21</v>
      </c>
      <c r="O27" s="55" t="s">
        <v>21</v>
      </c>
      <c r="P27" s="55" t="s">
        <v>21</v>
      </c>
      <c r="R27" s="56" t="s">
        <v>21</v>
      </c>
      <c r="S27" s="38"/>
      <c r="T27" s="39"/>
      <c r="U27" s="40" t="e">
        <f>AVERAGE(E27:P27)</f>
        <v>#DIV/0!</v>
      </c>
    </row>
    <row r="28" spans="3:21" ht="12.75" hidden="1">
      <c r="C28" s="14" t="s">
        <v>25</v>
      </c>
      <c r="E28" s="55" t="s">
        <v>21</v>
      </c>
      <c r="F28" s="55" t="s">
        <v>21</v>
      </c>
      <c r="G28" s="55" t="s">
        <v>21</v>
      </c>
      <c r="H28" s="55" t="s">
        <v>21</v>
      </c>
      <c r="I28" s="55" t="s">
        <v>21</v>
      </c>
      <c r="J28" s="55" t="s">
        <v>21</v>
      </c>
      <c r="K28" s="55" t="s">
        <v>21</v>
      </c>
      <c r="L28" s="55" t="s">
        <v>21</v>
      </c>
      <c r="M28" s="55" t="s">
        <v>21</v>
      </c>
      <c r="N28" s="55" t="s">
        <v>21</v>
      </c>
      <c r="O28" s="55" t="s">
        <v>21</v>
      </c>
      <c r="P28" s="55" t="s">
        <v>21</v>
      </c>
      <c r="R28" s="56" t="s">
        <v>21</v>
      </c>
      <c r="S28" s="63"/>
      <c r="T28" s="64"/>
      <c r="U28" s="65" t="s">
        <v>21</v>
      </c>
    </row>
    <row r="29" spans="3:21" ht="12.75">
      <c r="C29" s="14" t="s">
        <v>23</v>
      </c>
      <c r="E29" s="22">
        <v>2309.28</v>
      </c>
      <c r="F29" s="22">
        <f>'[1]Perfomance Details'!D12</f>
        <v>17519.89</v>
      </c>
      <c r="G29" s="22">
        <f>'[1]Perfomance Details'!E12</f>
        <v>14975.43</v>
      </c>
      <c r="H29" s="22">
        <f>'[1]Perfomance Details'!F12</f>
        <v>7756</v>
      </c>
      <c r="I29" s="22">
        <f>'[1]Perfomance Details'!G12</f>
        <v>147.83</v>
      </c>
      <c r="J29" s="22">
        <f>'[1]Perfomance Details'!H12</f>
        <v>11895.18</v>
      </c>
      <c r="K29" s="22">
        <f>'[1]Perfomance Details'!I12</f>
        <v>7971.5</v>
      </c>
      <c r="L29" s="22">
        <f>'[1]Perfomance Details'!J12</f>
        <v>10613.3</v>
      </c>
      <c r="M29" s="22">
        <f>'[1]Perfomance Details'!K12</f>
        <v>7280.55</v>
      </c>
      <c r="N29" s="22">
        <v>5108.682416758683</v>
      </c>
      <c r="O29" s="22">
        <v>13500.790058788652</v>
      </c>
      <c r="P29" s="22">
        <v>9690.40460182625</v>
      </c>
      <c r="R29" s="23">
        <f>SUM(E29:P29)</f>
        <v>108768.8370773736</v>
      </c>
      <c r="S29" s="38"/>
      <c r="T29" s="39">
        <f>R29+S29</f>
        <v>108768.8370773736</v>
      </c>
      <c r="U29" s="40">
        <f>AVERAGE(E29:P29)</f>
        <v>9064.0697564478</v>
      </c>
    </row>
    <row r="30" spans="3:21" ht="13.5" thickBot="1">
      <c r="C30" s="14" t="s">
        <v>10</v>
      </c>
      <c r="E30" s="28">
        <v>-6956.25</v>
      </c>
      <c r="F30" s="28">
        <f>-'[1]Perfomance Details'!D26</f>
        <v>-6956.25</v>
      </c>
      <c r="G30" s="28">
        <f>-'[1]Perfomance Details'!E26</f>
        <v>-7342.2</v>
      </c>
      <c r="H30" s="28">
        <f>-'[1]Perfomance Details'!F26</f>
        <v>-6956.25</v>
      </c>
      <c r="I30" s="28">
        <f>-'[1]Perfomance Details'!G26</f>
        <v>-6956.25</v>
      </c>
      <c r="J30" s="28">
        <f>-'[1]Perfomance Details'!H26</f>
        <v>-6956.25</v>
      </c>
      <c r="K30" s="28">
        <f>-'[1]Perfomance Details'!I26</f>
        <v>-6956.25</v>
      </c>
      <c r="L30" s="28">
        <f>-'[1]Perfomance Details'!J26</f>
        <v>-6956.25</v>
      </c>
      <c r="M30" s="28">
        <f>-'[1]Perfomance Details'!K26</f>
        <v>-6956.25</v>
      </c>
      <c r="N30" s="28">
        <f>(-83475-7372)/12</f>
        <v>-7570.583333333333</v>
      </c>
      <c r="O30" s="28">
        <f>(-83475-7372)/12</f>
        <v>-7570.583333333333</v>
      </c>
      <c r="P30" s="28">
        <f>(-83475-7372)/12</f>
        <v>-7570.583333333333</v>
      </c>
      <c r="R30" s="29">
        <f>SUM(E30:Q30)</f>
        <v>-85703.94999999998</v>
      </c>
      <c r="S30" s="57"/>
      <c r="T30" s="58">
        <f>R30+S30</f>
        <v>-85703.94999999998</v>
      </c>
      <c r="U30" s="59">
        <f>AVERAGE(E30:P30)</f>
        <v>-7141.995833333332</v>
      </c>
    </row>
    <row r="31" spans="3:21" ht="13.5" thickTop="1">
      <c r="C31" s="14" t="s">
        <v>11</v>
      </c>
      <c r="E31" s="33">
        <f aca="true" t="shared" si="8" ref="E31:P31">SUM(E29:E30)</f>
        <v>-4646.969999999999</v>
      </c>
      <c r="F31" s="33">
        <f t="shared" si="8"/>
        <v>10563.64</v>
      </c>
      <c r="G31" s="33">
        <f t="shared" si="8"/>
        <v>7633.2300000000005</v>
      </c>
      <c r="H31" s="33">
        <f t="shared" si="8"/>
        <v>799.75</v>
      </c>
      <c r="I31" s="33">
        <f t="shared" si="8"/>
        <v>-6808.42</v>
      </c>
      <c r="J31" s="33">
        <f t="shared" si="8"/>
        <v>4938.93</v>
      </c>
      <c r="K31" s="33">
        <f t="shared" si="8"/>
        <v>1015.25</v>
      </c>
      <c r="L31" s="33">
        <f t="shared" si="8"/>
        <v>3657.0499999999993</v>
      </c>
      <c r="M31" s="33">
        <f t="shared" si="8"/>
        <v>324.3000000000002</v>
      </c>
      <c r="N31" s="33">
        <f t="shared" si="8"/>
        <v>-2461.90091657465</v>
      </c>
      <c r="O31" s="33">
        <f t="shared" si="8"/>
        <v>5930.206725455319</v>
      </c>
      <c r="P31" s="33">
        <f t="shared" si="8"/>
        <v>2119.8212684929176</v>
      </c>
      <c r="R31" s="34">
        <f>SUM(E31:P31)</f>
        <v>23064.887077373583</v>
      </c>
      <c r="S31" s="60"/>
      <c r="T31" s="61">
        <f>T29+T30</f>
        <v>23064.887077373613</v>
      </c>
      <c r="U31" s="62">
        <f>AVERAGE(E31:P31)</f>
        <v>1922.0739231144653</v>
      </c>
    </row>
    <row r="32" spans="2:21" ht="13.5">
      <c r="B32" s="14" t="s">
        <v>60</v>
      </c>
      <c r="E32" s="16"/>
      <c r="R32" s="19"/>
      <c r="T32" s="20"/>
      <c r="U32" s="14"/>
    </row>
    <row r="33" spans="3:21" ht="12.75" hidden="1">
      <c r="C33" s="14" t="s">
        <v>20</v>
      </c>
      <c r="E33" s="55" t="s">
        <v>21</v>
      </c>
      <c r="F33" s="55" t="s">
        <v>21</v>
      </c>
      <c r="G33" s="55" t="s">
        <v>21</v>
      </c>
      <c r="H33" s="55" t="s">
        <v>21</v>
      </c>
      <c r="I33" s="55" t="s">
        <v>21</v>
      </c>
      <c r="J33" s="55" t="s">
        <v>21</v>
      </c>
      <c r="K33" s="55" t="s">
        <v>21</v>
      </c>
      <c r="L33" s="55" t="s">
        <v>21</v>
      </c>
      <c r="M33" s="55" t="s">
        <v>21</v>
      </c>
      <c r="N33" s="55" t="s">
        <v>21</v>
      </c>
      <c r="O33" s="55" t="s">
        <v>21</v>
      </c>
      <c r="P33" s="55" t="s">
        <v>21</v>
      </c>
      <c r="R33" s="56" t="s">
        <v>21</v>
      </c>
      <c r="S33" s="38"/>
      <c r="T33" s="39"/>
      <c r="U33" s="40" t="e">
        <f>AVERAGE(E33:P33)</f>
        <v>#DIV/0!</v>
      </c>
    </row>
    <row r="34" spans="3:21" ht="12.75" hidden="1">
      <c r="C34" s="14" t="s">
        <v>25</v>
      </c>
      <c r="E34" s="55" t="s">
        <v>21</v>
      </c>
      <c r="F34" s="55" t="s">
        <v>21</v>
      </c>
      <c r="G34" s="55" t="s">
        <v>21</v>
      </c>
      <c r="H34" s="55" t="s">
        <v>21</v>
      </c>
      <c r="I34" s="55" t="s">
        <v>21</v>
      </c>
      <c r="J34" s="55" t="s">
        <v>21</v>
      </c>
      <c r="K34" s="55" t="s">
        <v>21</v>
      </c>
      <c r="L34" s="55" t="s">
        <v>21</v>
      </c>
      <c r="M34" s="55" t="s">
        <v>21</v>
      </c>
      <c r="N34" s="55" t="s">
        <v>21</v>
      </c>
      <c r="O34" s="55" t="s">
        <v>21</v>
      </c>
      <c r="P34" s="55" t="s">
        <v>21</v>
      </c>
      <c r="R34" s="56" t="s">
        <v>21</v>
      </c>
      <c r="S34" s="63"/>
      <c r="T34" s="64"/>
      <c r="U34" s="65" t="s">
        <v>21</v>
      </c>
    </row>
    <row r="35" spans="3:21" ht="12.75">
      <c r="C35" s="14" t="s">
        <v>23</v>
      </c>
      <c r="E35" s="22">
        <v>8275.15</v>
      </c>
      <c r="F35" s="22">
        <f>'[1]Perfomance Details'!D13</f>
        <v>4314.07</v>
      </c>
      <c r="G35" s="22">
        <f>'[1]Perfomance Details'!E13</f>
        <v>5544.57</v>
      </c>
      <c r="H35" s="22">
        <f>'[1]Perfomance Details'!F13</f>
        <v>2905.32</v>
      </c>
      <c r="I35" s="22">
        <f>'[1]Perfomance Details'!G13</f>
        <v>5642.28</v>
      </c>
      <c r="J35" s="22">
        <f>'[1]Perfomance Details'!H13</f>
        <v>11251.45</v>
      </c>
      <c r="K35" s="22">
        <f>'[1]Perfomance Details'!I13</f>
        <v>6501.41</v>
      </c>
      <c r="L35" s="22">
        <f>'[1]Perfomance Details'!J13</f>
        <v>3126.57</v>
      </c>
      <c r="M35" s="22">
        <f>'[1]Perfomance Details'!K13</f>
        <v>4343.110000000001</v>
      </c>
      <c r="N35" s="22">
        <v>7354.531884254976</v>
      </c>
      <c r="O35" s="22">
        <v>9441.641364010064</v>
      </c>
      <c r="P35" s="22">
        <v>8453.816188951057</v>
      </c>
      <c r="R35" s="23">
        <f>SUM(E35:P35)</f>
        <v>77153.91943721609</v>
      </c>
      <c r="S35" s="38"/>
      <c r="T35" s="39">
        <f>R35+S35</f>
        <v>77153.91943721609</v>
      </c>
      <c r="U35" s="40">
        <f>AVERAGE(E35:P35)</f>
        <v>6429.493286434674</v>
      </c>
    </row>
    <row r="36" spans="3:21" ht="13.5" thickBot="1">
      <c r="C36" s="14" t="s">
        <v>10</v>
      </c>
      <c r="E36" s="28">
        <v>-8012.74</v>
      </c>
      <c r="F36" s="28">
        <f>-'[1]Perfomance Details'!D27</f>
        <v>-8012.74</v>
      </c>
      <c r="G36" s="28">
        <f>-'[1]Perfomance Details'!E27</f>
        <v>-8012.74</v>
      </c>
      <c r="H36" s="28">
        <f>-'[1]Perfomance Details'!F27</f>
        <v>-8012.74</v>
      </c>
      <c r="I36" s="28">
        <f>-'[1]Perfomance Details'!G27</f>
        <v>-8012.74</v>
      </c>
      <c r="J36" s="28">
        <f>-'[1]Perfomance Details'!H27</f>
        <v>-8012.74</v>
      </c>
      <c r="K36" s="28">
        <f>-'[1]Perfomance Details'!I27</f>
        <v>-8012.74</v>
      </c>
      <c r="L36" s="28">
        <f>-'[1]Perfomance Details'!J27</f>
        <v>-8012.74</v>
      </c>
      <c r="M36" s="28">
        <f>-'[1]Perfomance Details'!K27</f>
        <v>-8012.74</v>
      </c>
      <c r="N36" s="28">
        <f>-96153/12</f>
        <v>-8012.75</v>
      </c>
      <c r="O36" s="28">
        <f>-96153/12</f>
        <v>-8012.75</v>
      </c>
      <c r="P36" s="28">
        <f>-96153/12</f>
        <v>-8012.75</v>
      </c>
      <c r="R36" s="29">
        <f>SUM(E36:P36)</f>
        <v>-96152.90999999999</v>
      </c>
      <c r="S36" s="57"/>
      <c r="T36" s="58">
        <f>R36+S36</f>
        <v>-96152.90999999999</v>
      </c>
      <c r="U36" s="59">
        <f>AVERAGE(E36:P36)</f>
        <v>-8012.742499999999</v>
      </c>
    </row>
    <row r="37" spans="3:21" ht="13.5" thickTop="1">
      <c r="C37" s="14" t="s">
        <v>11</v>
      </c>
      <c r="E37" s="33">
        <f aca="true" t="shared" si="9" ref="E37:P37">SUM(E35:E36)</f>
        <v>262.40999999999985</v>
      </c>
      <c r="F37" s="33">
        <f t="shared" si="9"/>
        <v>-3698.67</v>
      </c>
      <c r="G37" s="33">
        <f t="shared" si="9"/>
        <v>-2468.17</v>
      </c>
      <c r="H37" s="33">
        <f t="shared" si="9"/>
        <v>-5107.42</v>
      </c>
      <c r="I37" s="33">
        <f t="shared" si="9"/>
        <v>-2370.46</v>
      </c>
      <c r="J37" s="33">
        <f t="shared" si="9"/>
        <v>3238.710000000001</v>
      </c>
      <c r="K37" s="33">
        <f t="shared" si="9"/>
        <v>-1511.33</v>
      </c>
      <c r="L37" s="33">
        <f t="shared" si="9"/>
        <v>-4886.17</v>
      </c>
      <c r="M37" s="33">
        <f t="shared" si="9"/>
        <v>-3669.629999999999</v>
      </c>
      <c r="N37" s="33">
        <f t="shared" si="9"/>
        <v>-658.2181157450241</v>
      </c>
      <c r="O37" s="33">
        <f t="shared" si="9"/>
        <v>1428.8913640100636</v>
      </c>
      <c r="P37" s="33">
        <f t="shared" si="9"/>
        <v>441.0661889510575</v>
      </c>
      <c r="R37" s="34">
        <f>SUM(E37:P37)</f>
        <v>-18998.990562783896</v>
      </c>
      <c r="S37" s="60"/>
      <c r="T37" s="61">
        <f>T35+T36</f>
        <v>-18998.990562783903</v>
      </c>
      <c r="U37" s="62">
        <f>AVERAGE(E37:P37)</f>
        <v>-1583.2492135653247</v>
      </c>
    </row>
    <row r="38" spans="2:21" ht="12.75">
      <c r="B38" s="14" t="s">
        <v>26</v>
      </c>
      <c r="E38" s="16"/>
      <c r="R38" s="19"/>
      <c r="T38" s="20"/>
      <c r="U38" s="14"/>
    </row>
    <row r="39" spans="3:21" ht="13.5">
      <c r="C39" s="14" t="s">
        <v>61</v>
      </c>
      <c r="E39" s="22">
        <v>36649.94</v>
      </c>
      <c r="F39" s="22">
        <f>'[1]Perfomance Details'!D14</f>
        <v>7742.82</v>
      </c>
      <c r="G39" s="22">
        <f>'[1]Perfomance Details'!E14</f>
        <v>64883.01</v>
      </c>
      <c r="H39" s="22">
        <f>'[1]Perfomance Details'!F14</f>
        <v>89757.34</v>
      </c>
      <c r="I39" s="22">
        <f>'[1]Perfomance Details'!G14</f>
        <v>57892.53</v>
      </c>
      <c r="J39" s="22">
        <f>'[1]Perfomance Details'!H14</f>
        <v>71334.09</v>
      </c>
      <c r="K39" s="22">
        <f>'[1]Perfomance Details'!I14</f>
        <v>97967.56</v>
      </c>
      <c r="L39" s="22">
        <f>'[1]Perfomance Details'!J14</f>
        <v>49854.14</v>
      </c>
      <c r="M39" s="22">
        <f>'[1]Perfomance Details'!K14</f>
        <v>35784.18</v>
      </c>
      <c r="N39" s="22">
        <f>-N40*1.15</f>
        <v>118530.49999999999</v>
      </c>
      <c r="O39" s="22">
        <f>-O40*1.15</f>
        <v>118530.49999999999</v>
      </c>
      <c r="P39" s="22">
        <f>-P40*1.15</f>
        <v>177794.59999999998</v>
      </c>
      <c r="R39" s="23">
        <f>SUM(E39:P39)</f>
        <v>926721.21</v>
      </c>
      <c r="S39" s="38"/>
      <c r="T39" s="39">
        <f>R39</f>
        <v>926721.21</v>
      </c>
      <c r="U39" s="40">
        <f>AVERAGE(F39:P39)</f>
        <v>80915.56999999999</v>
      </c>
    </row>
    <row r="40" spans="3:21" ht="13.5" thickBot="1">
      <c r="C40" s="14" t="s">
        <v>10</v>
      </c>
      <c r="E40" s="28"/>
      <c r="F40" s="28">
        <f>-'[1]Perfomance Details'!D28</f>
        <v>0</v>
      </c>
      <c r="G40" s="28">
        <f>-'[1]Perfomance Details'!E28</f>
        <v>-108298.89</v>
      </c>
      <c r="H40" s="28">
        <f>-'[1]Perfomance Details'!F28</f>
        <v>3.21</v>
      </c>
      <c r="I40" s="28">
        <f>-'[1]Perfomance Details'!G28</f>
        <v>-44121.59000000002</v>
      </c>
      <c r="J40" s="28">
        <f>-'[1]Perfomance Details'!H28</f>
        <v>-129698.46000000002</v>
      </c>
      <c r="K40" s="28">
        <f>-'[1]Perfomance Details'!I28</f>
        <v>-158241.25</v>
      </c>
      <c r="L40" s="28">
        <f>-'[1]Perfomance Details'!J28</f>
        <v>-103069.59</v>
      </c>
      <c r="M40" s="28">
        <f>-'[1]Perfomance Details'!K28</f>
        <v>-102638.95</v>
      </c>
      <c r="N40" s="28">
        <v>-103070</v>
      </c>
      <c r="O40" s="28">
        <f>N40</f>
        <v>-103070</v>
      </c>
      <c r="P40" s="28">
        <v>-154604</v>
      </c>
      <c r="R40" s="29">
        <f>SUM(E40:P40)</f>
        <v>-1006809.52</v>
      </c>
      <c r="S40" s="57">
        <f>-R41</f>
        <v>80088.31000000008</v>
      </c>
      <c r="T40" s="58">
        <f>R40+S40</f>
        <v>-926721.21</v>
      </c>
      <c r="U40" s="59">
        <f>AVERAGE(F40:P40)</f>
        <v>-91528.13818181818</v>
      </c>
    </row>
    <row r="41" spans="3:21" ht="13.5" thickTop="1">
      <c r="C41" s="14" t="s">
        <v>27</v>
      </c>
      <c r="E41" s="33">
        <f aca="true" t="shared" si="10" ref="E41:P41">SUM(E39:E40)</f>
        <v>36649.94</v>
      </c>
      <c r="F41" s="33">
        <f t="shared" si="10"/>
        <v>7742.82</v>
      </c>
      <c r="G41" s="33">
        <f t="shared" si="10"/>
        <v>-43415.88</v>
      </c>
      <c r="H41" s="33">
        <f t="shared" si="10"/>
        <v>89760.55</v>
      </c>
      <c r="I41" s="33">
        <f t="shared" si="10"/>
        <v>13770.93999999998</v>
      </c>
      <c r="J41" s="33">
        <f t="shared" si="10"/>
        <v>-58364.370000000024</v>
      </c>
      <c r="K41" s="33">
        <f t="shared" si="10"/>
        <v>-60273.69</v>
      </c>
      <c r="L41" s="33">
        <f t="shared" si="10"/>
        <v>-53215.45</v>
      </c>
      <c r="M41" s="33">
        <f t="shared" si="10"/>
        <v>-66854.76999999999</v>
      </c>
      <c r="N41" s="33">
        <f t="shared" si="10"/>
        <v>15460.499999999985</v>
      </c>
      <c r="O41" s="33">
        <f t="shared" si="10"/>
        <v>15460.499999999985</v>
      </c>
      <c r="P41" s="33">
        <f t="shared" si="10"/>
        <v>23190.599999999977</v>
      </c>
      <c r="R41" s="34">
        <f>SUM(E41:P41)</f>
        <v>-80088.31000000008</v>
      </c>
      <c r="S41" s="60"/>
      <c r="T41" s="61">
        <f>T39+T40</f>
        <v>0</v>
      </c>
      <c r="U41" s="62">
        <f>AVERAGE(F41:P41)</f>
        <v>-10612.568181818187</v>
      </c>
    </row>
    <row r="42" spans="2:21" ht="12.75">
      <c r="B42" s="14" t="s">
        <v>28</v>
      </c>
      <c r="E42" s="16"/>
      <c r="F42" s="44"/>
      <c r="G42" s="44"/>
      <c r="H42" s="44"/>
      <c r="I42" s="44"/>
      <c r="J42" s="44"/>
      <c r="K42" s="44"/>
      <c r="L42" s="18"/>
      <c r="M42" s="18"/>
      <c r="N42" s="18"/>
      <c r="O42" s="18"/>
      <c r="P42" s="18"/>
      <c r="R42" s="19"/>
      <c r="S42" s="66"/>
      <c r="T42" s="20"/>
      <c r="U42" s="18"/>
    </row>
    <row r="43" spans="3:21" ht="12.75">
      <c r="C43" s="14" t="s">
        <v>9</v>
      </c>
      <c r="E43" s="22"/>
      <c r="F43" s="22">
        <f>'[1]Perfomance Details'!D15</f>
        <v>-1643.2</v>
      </c>
      <c r="G43" s="22">
        <f>'[1]Perfomance Details'!E15</f>
        <v>-1892.25</v>
      </c>
      <c r="H43" s="22">
        <f>'[1]Perfomance Details'!F15</f>
        <v>-2077.35</v>
      </c>
      <c r="I43" s="22">
        <f>'[1]Perfomance Details'!G15</f>
        <v>0</v>
      </c>
      <c r="J43" s="22">
        <f>'[1]Perfomance Details'!H15</f>
        <v>-4710.97</v>
      </c>
      <c r="K43" s="22">
        <f>'[1]Perfomance Details'!I15</f>
        <v>-2209.35</v>
      </c>
      <c r="L43" s="67">
        <f>'[1]Perfomance Details'!J15</f>
        <v>-2071.15</v>
      </c>
      <c r="M43" s="67">
        <f>'[1]Perfomance Details'!K15</f>
        <v>-2679.11</v>
      </c>
      <c r="N43" s="67"/>
      <c r="O43" s="67"/>
      <c r="P43" s="22">
        <v>0</v>
      </c>
      <c r="R43" s="23">
        <f>SUM(E43:P43)</f>
        <v>-17283.38</v>
      </c>
      <c r="S43" s="38">
        <f>-R43</f>
        <v>17283.38</v>
      </c>
      <c r="T43" s="39">
        <f>R43+S43</f>
        <v>0</v>
      </c>
      <c r="U43" s="40"/>
    </row>
    <row r="44" spans="3:21" ht="13.5" thickBot="1">
      <c r="C44" s="14" t="s">
        <v>10</v>
      </c>
      <c r="E44" s="28">
        <v>-11292.18</v>
      </c>
      <c r="F44" s="28">
        <f>-'[1]Perfomance Details'!D29</f>
        <v>-11965.28</v>
      </c>
      <c r="G44" s="28">
        <f>-'[1]Perfomance Details'!E29</f>
        <v>-18773.15</v>
      </c>
      <c r="H44" s="28">
        <f>-'[1]Perfomance Details'!F29</f>
        <v>-18042.81</v>
      </c>
      <c r="I44" s="28">
        <f>-'[1]Perfomance Details'!G29</f>
        <v>-44366.29</v>
      </c>
      <c r="J44" s="28">
        <f>-'[1]Perfomance Details'!H29</f>
        <v>-11897.29</v>
      </c>
      <c r="K44" s="28">
        <f>-'[1]Perfomance Details'!I29</f>
        <v>-17692.32</v>
      </c>
      <c r="L44" s="28">
        <f>-'[1]Perfomance Details'!J29</f>
        <v>-12490.9</v>
      </c>
      <c r="M44" s="28">
        <f>-'[1]Perfomance Details'!K29</f>
        <v>-11300.26</v>
      </c>
      <c r="N44" s="28">
        <f>-(571704-14495-15000-51899-228028+1227)/12</f>
        <v>-21959.083333333332</v>
      </c>
      <c r="O44" s="28">
        <f>-(571704-14495-15000-51899-228028+1227)/12</f>
        <v>-21959.083333333332</v>
      </c>
      <c r="P44" s="28">
        <f>-(571704-14495-15000-51899-228028+1227)/12-51899-228028+1227+12974.75-306.75+31262</f>
        <v>-256729.0833333333</v>
      </c>
      <c r="R44" s="29">
        <f>SUM(E44:P44)</f>
        <v>-458467.73</v>
      </c>
      <c r="S44" s="57">
        <f>-R44</f>
        <v>458467.73</v>
      </c>
      <c r="T44" s="68">
        <f>R44+S44</f>
        <v>0</v>
      </c>
      <c r="U44" s="59">
        <f>AVERAGE(E44:P44)</f>
        <v>-38205.644166666665</v>
      </c>
    </row>
    <row r="45" spans="1:26" s="72" customFormat="1" ht="13.5" thickTop="1">
      <c r="A45" s="69"/>
      <c r="B45" s="70"/>
      <c r="C45" s="71" t="s">
        <v>11</v>
      </c>
      <c r="E45" s="73">
        <f aca="true" t="shared" si="11" ref="E45:P45">SUM(E43:E44)</f>
        <v>-11292.18</v>
      </c>
      <c r="F45" s="73">
        <f t="shared" si="11"/>
        <v>-13608.480000000001</v>
      </c>
      <c r="G45" s="73">
        <f t="shared" si="11"/>
        <v>-20665.4</v>
      </c>
      <c r="H45" s="73">
        <f t="shared" si="11"/>
        <v>-20120.16</v>
      </c>
      <c r="I45" s="73">
        <f t="shared" si="11"/>
        <v>-44366.29</v>
      </c>
      <c r="J45" s="73">
        <f t="shared" si="11"/>
        <v>-16608.260000000002</v>
      </c>
      <c r="K45" s="73">
        <f t="shared" si="11"/>
        <v>-19901.67</v>
      </c>
      <c r="L45" s="73">
        <f t="shared" si="11"/>
        <v>-14562.05</v>
      </c>
      <c r="M45" s="73">
        <f t="shared" si="11"/>
        <v>-13979.37</v>
      </c>
      <c r="N45" s="73">
        <f t="shared" si="11"/>
        <v>-21959.083333333332</v>
      </c>
      <c r="O45" s="73">
        <f t="shared" si="11"/>
        <v>-21959.083333333332</v>
      </c>
      <c r="P45" s="73">
        <f t="shared" si="11"/>
        <v>-256729.0833333333</v>
      </c>
      <c r="Q45" s="74"/>
      <c r="R45" s="75">
        <f>SUM(R43:R44)</f>
        <v>-475751.11</v>
      </c>
      <c r="S45" s="76">
        <f>SUM(S43:S44)</f>
        <v>475751.11</v>
      </c>
      <c r="T45" s="42">
        <f>R45+S45</f>
        <v>0</v>
      </c>
      <c r="U45" s="77">
        <f>AVERAGE(E45:P45)</f>
        <v>-39645.925833333335</v>
      </c>
      <c r="Z45" s="78"/>
    </row>
    <row r="46" spans="1:21" ht="12.75">
      <c r="A46" s="13" t="s">
        <v>29</v>
      </c>
      <c r="E46" s="16"/>
      <c r="R46" s="19"/>
      <c r="T46" s="20"/>
      <c r="U46" s="14"/>
    </row>
    <row r="47" spans="2:21" ht="12.75">
      <c r="B47" s="14" t="s">
        <v>30</v>
      </c>
      <c r="E47" s="16"/>
      <c r="R47" s="19"/>
      <c r="T47" s="20"/>
      <c r="U47" s="14"/>
    </row>
    <row r="48" spans="3:21" ht="12.75">
      <c r="C48" s="14" t="s">
        <v>9</v>
      </c>
      <c r="E48" s="22">
        <v>1040.73</v>
      </c>
      <c r="F48" s="22">
        <f>'[1]Perfomance Details'!D10</f>
        <v>0</v>
      </c>
      <c r="G48" s="22">
        <f>'[1]Perfomance Details'!E10</f>
        <v>33968.520000000004</v>
      </c>
      <c r="H48" s="22">
        <f>'[1]Perfomance Details'!F10</f>
        <v>16718.25</v>
      </c>
      <c r="I48" s="22">
        <f>'[1]Perfomance Details'!G10</f>
        <v>7967.1</v>
      </c>
      <c r="J48" s="22">
        <f>'[1]Perfomance Details'!H10</f>
        <v>29504.11</v>
      </c>
      <c r="K48" s="22">
        <f>'[1]Perfomance Details'!I10</f>
        <v>7445.879999999999</v>
      </c>
      <c r="L48" s="22">
        <f>'[1]Perfomance Details'!J10</f>
        <v>20039.83</v>
      </c>
      <c r="M48" s="22">
        <f>'[1]Perfomance Details'!K10</f>
        <v>4071.84</v>
      </c>
      <c r="N48" s="22"/>
      <c r="O48" s="22"/>
      <c r="P48" s="22"/>
      <c r="R48" s="23">
        <f>SUM(E48:P48)</f>
        <v>120756.26000000001</v>
      </c>
      <c r="S48" s="38">
        <f>W56</f>
        <v>-1223.1703290919568</v>
      </c>
      <c r="T48" s="39">
        <f>R48+S48</f>
        <v>119533.08967090806</v>
      </c>
      <c r="U48" s="40">
        <f>AVERAGE(H48:P48)</f>
        <v>14291.168333333333</v>
      </c>
    </row>
    <row r="49" spans="3:21" ht="13.5" thickBot="1">
      <c r="C49" s="14" t="s">
        <v>10</v>
      </c>
      <c r="E49" s="28">
        <v>-4489.95</v>
      </c>
      <c r="F49" s="28">
        <f>-'[1]Perfomance Details'!D24</f>
        <v>-4489.95</v>
      </c>
      <c r="G49" s="28">
        <f>-'[1]Perfomance Details'!E24</f>
        <v>-4489.95</v>
      </c>
      <c r="H49" s="28">
        <f>-'[1]Perfomance Details'!F24</f>
        <v>-4489.95</v>
      </c>
      <c r="I49" s="28">
        <f>-'[1]Perfomance Details'!G24</f>
        <v>-4489.95</v>
      </c>
      <c r="J49" s="28">
        <f>-'[1]Perfomance Details'!H24</f>
        <v>-4489.95</v>
      </c>
      <c r="K49" s="28">
        <f>-53879/12</f>
        <v>-4489.916666666667</v>
      </c>
      <c r="L49" s="28">
        <f>-'[1]Perfomance Details'!J24</f>
        <v>-4094.65</v>
      </c>
      <c r="M49" s="28">
        <f>-'[1]Perfomance Details'!K24</f>
        <v>0</v>
      </c>
      <c r="N49" s="28"/>
      <c r="O49" s="28"/>
      <c r="P49" s="28">
        <f>-E74-E71</f>
        <v>-156935.00666666665</v>
      </c>
      <c r="R49" s="29">
        <f>SUM(E49:P49)</f>
        <v>-192459.27333333332</v>
      </c>
      <c r="S49" s="57">
        <f>Z56</f>
        <v>-32446.43838081106</v>
      </c>
      <c r="T49" s="58">
        <f>R49+S49</f>
        <v>-224905.7117141444</v>
      </c>
      <c r="U49" s="59">
        <f>AVERAGE(H49:P49)</f>
        <v>-25569.917619047617</v>
      </c>
    </row>
    <row r="50" spans="3:21" ht="13.5" thickTop="1">
      <c r="C50" s="14" t="s">
        <v>11</v>
      </c>
      <c r="E50" s="33">
        <f aca="true" t="shared" si="12" ref="E50:P50">E48+E49</f>
        <v>-3449.22</v>
      </c>
      <c r="F50" s="33">
        <f t="shared" si="12"/>
        <v>-4489.95</v>
      </c>
      <c r="G50" s="33">
        <f t="shared" si="12"/>
        <v>29478.570000000003</v>
      </c>
      <c r="H50" s="33">
        <f t="shared" si="12"/>
        <v>12228.3</v>
      </c>
      <c r="I50" s="33">
        <f t="shared" si="12"/>
        <v>3477.1500000000005</v>
      </c>
      <c r="J50" s="33">
        <f t="shared" si="12"/>
        <v>25014.16</v>
      </c>
      <c r="K50" s="33">
        <f t="shared" si="12"/>
        <v>2955.9633333333322</v>
      </c>
      <c r="L50" s="33">
        <f t="shared" si="12"/>
        <v>15945.180000000002</v>
      </c>
      <c r="M50" s="33">
        <f t="shared" si="12"/>
        <v>4071.84</v>
      </c>
      <c r="N50" s="33">
        <f t="shared" si="12"/>
        <v>0</v>
      </c>
      <c r="O50" s="33">
        <f t="shared" si="12"/>
        <v>0</v>
      </c>
      <c r="P50" s="33">
        <f t="shared" si="12"/>
        <v>-156935.00666666665</v>
      </c>
      <c r="R50" s="34">
        <f>SUM(E50:P50)</f>
        <v>-71703.01333333332</v>
      </c>
      <c r="S50" s="60"/>
      <c r="T50" s="61">
        <f>T48+T49</f>
        <v>-105372.62204323633</v>
      </c>
      <c r="U50" s="62">
        <f>AVERAGE(E50:P50)</f>
        <v>-5975.25111111111</v>
      </c>
    </row>
    <row r="51" spans="5:26" ht="7.5" customHeight="1"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R51" s="18"/>
      <c r="S51" s="18"/>
      <c r="T51" s="18"/>
      <c r="U51" s="18"/>
      <c r="Z51" s="79"/>
    </row>
    <row r="52" spans="5:26" ht="6" customHeight="1"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R52" s="18"/>
      <c r="S52" s="18"/>
      <c r="T52" s="18"/>
      <c r="U52" s="18"/>
      <c r="V52" s="80"/>
      <c r="W52" s="80"/>
      <c r="X52" s="80"/>
      <c r="Y52" s="80"/>
      <c r="Z52" s="81"/>
    </row>
    <row r="53" spans="2:28" ht="15.75" customHeight="1">
      <c r="B53" s="82">
        <v>1</v>
      </c>
      <c r="C53" s="83" t="s">
        <v>31</v>
      </c>
      <c r="D53" s="83"/>
      <c r="E53" s="84"/>
      <c r="F53" s="84"/>
      <c r="G53" s="84"/>
      <c r="H53" s="84"/>
      <c r="I53" s="84"/>
      <c r="J53" s="85"/>
      <c r="K53" s="85"/>
      <c r="L53" s="83"/>
      <c r="M53" s="83"/>
      <c r="N53" s="83"/>
      <c r="O53" s="83"/>
      <c r="P53" s="83"/>
      <c r="Q53" s="83"/>
      <c r="R53" s="83"/>
      <c r="S53" s="86"/>
      <c r="T53" s="87" t="s">
        <v>32</v>
      </c>
      <c r="U53" s="87"/>
      <c r="V53" s="87" t="s">
        <v>9</v>
      </c>
      <c r="W53" s="87">
        <f>R43</f>
        <v>-17283.38</v>
      </c>
      <c r="X53" s="87" t="s">
        <v>33</v>
      </c>
      <c r="Y53" s="87"/>
      <c r="Z53" s="88">
        <f>R44</f>
        <v>-458467.73</v>
      </c>
      <c r="AA53" s="89"/>
      <c r="AB53" s="89"/>
    </row>
    <row r="54" spans="2:28" ht="13.5">
      <c r="B54" s="82">
        <v>2</v>
      </c>
      <c r="C54" s="83" t="s">
        <v>34</v>
      </c>
      <c r="D54" s="83"/>
      <c r="E54" s="84"/>
      <c r="F54" s="84"/>
      <c r="G54" s="84"/>
      <c r="H54" s="84"/>
      <c r="I54" s="84"/>
      <c r="J54" s="85"/>
      <c r="K54" s="85"/>
      <c r="L54" s="83"/>
      <c r="M54" s="83"/>
      <c r="N54" s="83"/>
      <c r="O54" s="83"/>
      <c r="P54" s="83"/>
      <c r="Q54" s="83"/>
      <c r="R54" s="90"/>
      <c r="S54" s="86"/>
      <c r="T54" s="91">
        <f>-R18-R41</f>
        <v>1979302.9899999998</v>
      </c>
      <c r="U54" s="87"/>
      <c r="V54" s="87"/>
      <c r="W54" s="87">
        <f>Y54*$W$53</f>
        <v>-12579.413024478461</v>
      </c>
      <c r="X54" s="87"/>
      <c r="Y54" s="92">
        <f>T54/$T$60</f>
        <v>0.7278329253004019</v>
      </c>
      <c r="Z54" s="88">
        <f>Y54*$Z$53</f>
        <v>-333687.90908173483</v>
      </c>
      <c r="AA54" s="89"/>
      <c r="AB54" s="89"/>
    </row>
    <row r="55" spans="2:28" ht="13.5" customHeight="1">
      <c r="B55" s="82">
        <v>3</v>
      </c>
      <c r="C55" s="117" t="s">
        <v>35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94"/>
      <c r="T55" s="91">
        <f>-R24</f>
        <v>547684.6333333334</v>
      </c>
      <c r="U55" s="87"/>
      <c r="V55" s="87"/>
      <c r="W55" s="87">
        <f>Y55*$W$53</f>
        <v>-3480.796646429583</v>
      </c>
      <c r="X55" s="87"/>
      <c r="Y55" s="92">
        <f>T55/$T$60</f>
        <v>0.2013955977609462</v>
      </c>
      <c r="Z55" s="88">
        <f>Y55*$Z$53</f>
        <v>-92333.38253745409</v>
      </c>
      <c r="AA55" s="89"/>
      <c r="AB55" s="89"/>
    </row>
    <row r="56" spans="2:28" ht="13.5">
      <c r="B56" s="82">
        <v>4</v>
      </c>
      <c r="C56" s="117" t="s">
        <v>36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95"/>
      <c r="R56" s="90"/>
      <c r="S56" s="94"/>
      <c r="T56" s="91">
        <f>-R49</f>
        <v>192459.27333333332</v>
      </c>
      <c r="U56" s="87"/>
      <c r="V56" s="87"/>
      <c r="W56" s="87">
        <f>Y56*$W$53</f>
        <v>-1223.1703290919568</v>
      </c>
      <c r="X56" s="87"/>
      <c r="Y56" s="92">
        <f>T56/$T$60</f>
        <v>0.07077147693865185</v>
      </c>
      <c r="Z56" s="88">
        <f>Y56*$Z$53</f>
        <v>-32446.43838081106</v>
      </c>
      <c r="AA56" s="89"/>
      <c r="AB56" s="89"/>
    </row>
    <row r="57" spans="2:28" ht="13.5">
      <c r="B57" s="82">
        <v>5</v>
      </c>
      <c r="C57" s="117" t="s">
        <v>68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93"/>
      <c r="O57" s="93"/>
      <c r="P57" s="93"/>
      <c r="Q57" s="95"/>
      <c r="R57" s="90"/>
      <c r="S57" s="94"/>
      <c r="T57" s="91"/>
      <c r="U57" s="87"/>
      <c r="V57" s="87"/>
      <c r="W57" s="87"/>
      <c r="X57" s="87"/>
      <c r="Y57" s="92"/>
      <c r="Z57" s="88"/>
      <c r="AA57" s="89"/>
      <c r="AB57" s="89"/>
    </row>
    <row r="58" spans="2:28" ht="13.5" customHeight="1">
      <c r="B58" s="82"/>
      <c r="C58" s="93" t="s">
        <v>37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83"/>
      <c r="O58" s="83"/>
      <c r="P58" s="83"/>
      <c r="Q58" s="95"/>
      <c r="R58" s="90"/>
      <c r="S58" s="94"/>
      <c r="T58" s="91"/>
      <c r="U58" s="87"/>
      <c r="V58" s="87"/>
      <c r="W58" s="87"/>
      <c r="X58" s="87"/>
      <c r="Y58" s="92"/>
      <c r="Z58" s="88"/>
      <c r="AA58" s="89"/>
      <c r="AB58" s="89"/>
    </row>
    <row r="59" spans="2:28" ht="13.5">
      <c r="B59" s="82" t="s">
        <v>38</v>
      </c>
      <c r="C59" s="117" t="s">
        <v>39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95"/>
      <c r="R59" s="90"/>
      <c r="S59" s="94"/>
      <c r="T59" s="91"/>
      <c r="U59" s="87"/>
      <c r="V59" s="87"/>
      <c r="W59" s="87">
        <f>Y59*$W$53</f>
        <v>0</v>
      </c>
      <c r="X59" s="87"/>
      <c r="Y59" s="92"/>
      <c r="Z59" s="88"/>
      <c r="AA59" s="89"/>
      <c r="AB59" s="89"/>
    </row>
    <row r="60" spans="3:28" ht="12.75">
      <c r="C60" s="85" t="s">
        <v>40</v>
      </c>
      <c r="D60" s="83"/>
      <c r="E60" s="84"/>
      <c r="R60" s="96"/>
      <c r="S60" s="96"/>
      <c r="T60" s="97">
        <f>SUM(T54:T59)</f>
        <v>2719446.8966666665</v>
      </c>
      <c r="U60" s="98"/>
      <c r="V60" s="98"/>
      <c r="W60" s="87">
        <f>Y60*$W$53</f>
        <v>-17283.379999999997</v>
      </c>
      <c r="X60" s="98"/>
      <c r="Y60" s="99">
        <f>SUM(Y54:Y59)</f>
        <v>0.9999999999999999</v>
      </c>
      <c r="Z60" s="88">
        <f>SUM(Z54:Z56)</f>
        <v>-458467.73</v>
      </c>
      <c r="AA60" s="89"/>
      <c r="AB60" s="89"/>
    </row>
    <row r="61" spans="3:28" ht="12.75">
      <c r="C61" s="100" t="s">
        <v>41</v>
      </c>
      <c r="D61" s="83"/>
      <c r="E61" s="84">
        <f>50672-12668</f>
        <v>38004</v>
      </c>
      <c r="F61" s="101"/>
      <c r="R61" s="96"/>
      <c r="S61" s="102"/>
      <c r="T61" s="97"/>
      <c r="U61" s="98"/>
      <c r="V61" s="98"/>
      <c r="W61" s="98"/>
      <c r="X61" s="98"/>
      <c r="Y61" s="99"/>
      <c r="Z61" s="88">
        <f>S40</f>
        <v>80088.31000000008</v>
      </c>
      <c r="AA61" s="89"/>
      <c r="AB61" s="89"/>
    </row>
    <row r="62" spans="3:28" ht="12.75">
      <c r="C62" s="100" t="s">
        <v>42</v>
      </c>
      <c r="D62" s="83"/>
      <c r="E62" s="84">
        <f>228028-31262</f>
        <v>196766</v>
      </c>
      <c r="F62" s="101"/>
      <c r="S62" s="96"/>
      <c r="T62" s="96"/>
      <c r="U62" s="89"/>
      <c r="V62" s="89"/>
      <c r="W62" s="89"/>
      <c r="X62" s="89"/>
      <c r="Y62" s="89"/>
      <c r="Z62" s="88">
        <f>Z61+Z60</f>
        <v>-378379.4199999999</v>
      </c>
      <c r="AA62" s="89"/>
      <c r="AB62" s="89"/>
    </row>
    <row r="63" spans="3:28" ht="12.75">
      <c r="C63" s="103" t="s">
        <v>43</v>
      </c>
      <c r="D63" s="95"/>
      <c r="E63" s="104">
        <v>288199</v>
      </c>
      <c r="S63" s="96"/>
      <c r="T63" s="96"/>
      <c r="U63" s="89"/>
      <c r="V63" s="89"/>
      <c r="W63" s="89"/>
      <c r="X63" s="89"/>
      <c r="Y63" s="89"/>
      <c r="Z63" s="88"/>
      <c r="AA63" s="89"/>
      <c r="AB63" s="89"/>
    </row>
    <row r="64" spans="3:28" ht="12.75">
      <c r="C64" s="105" t="s">
        <v>44</v>
      </c>
      <c r="D64" s="106"/>
      <c r="E64" s="107">
        <v>14495</v>
      </c>
      <c r="S64" s="96"/>
      <c r="T64" s="96"/>
      <c r="U64" s="89"/>
      <c r="V64" s="89"/>
      <c r="W64" s="89"/>
      <c r="X64" s="89"/>
      <c r="Y64" s="89"/>
      <c r="Z64" s="88"/>
      <c r="AA64" s="89"/>
      <c r="AB64" s="89"/>
    </row>
    <row r="65" spans="3:28" ht="12.75">
      <c r="C65" s="108" t="s">
        <v>45</v>
      </c>
      <c r="D65" s="109"/>
      <c r="E65" s="110">
        <f>SUM(E61:E64)</f>
        <v>537464</v>
      </c>
      <c r="S65" s="96"/>
      <c r="T65" s="96"/>
      <c r="U65" s="89"/>
      <c r="V65" s="89"/>
      <c r="W65" s="89"/>
      <c r="X65" s="89"/>
      <c r="Y65" s="89"/>
      <c r="Z65" s="79"/>
      <c r="AA65" s="89"/>
      <c r="AB65" s="89"/>
    </row>
    <row r="66" spans="3:28" ht="12.75">
      <c r="C66" s="101" t="s">
        <v>46</v>
      </c>
      <c r="D66" s="111"/>
      <c r="E66" s="112"/>
      <c r="AB66" s="89"/>
    </row>
    <row r="67" spans="2:28" ht="13.5">
      <c r="B67" s="82" t="s">
        <v>47</v>
      </c>
      <c r="C67" s="83" t="s">
        <v>48</v>
      </c>
      <c r="T67" s="96"/>
      <c r="U67" s="89"/>
      <c r="V67" s="89"/>
      <c r="W67" s="89"/>
      <c r="X67" s="89"/>
      <c r="Y67" s="89"/>
      <c r="Z67" s="79"/>
      <c r="AA67" s="89"/>
      <c r="AB67" s="89"/>
    </row>
    <row r="68" spans="1:26" s="83" customFormat="1" ht="12.75">
      <c r="A68" s="85"/>
      <c r="B68" s="82" t="s">
        <v>49</v>
      </c>
      <c r="C68" s="83" t="s">
        <v>50</v>
      </c>
      <c r="E68" s="84"/>
      <c r="F68" s="84"/>
      <c r="G68" s="84"/>
      <c r="H68" s="84"/>
      <c r="I68" s="84"/>
      <c r="J68" s="84"/>
      <c r="K68" s="84"/>
      <c r="Q68" s="95"/>
      <c r="Z68" s="113"/>
    </row>
    <row r="69" spans="1:26" s="83" customFormat="1" ht="10.5">
      <c r="A69" s="85"/>
      <c r="C69" s="103" t="s">
        <v>51</v>
      </c>
      <c r="E69" s="84">
        <f>25990/12*8</f>
        <v>17326.666666666668</v>
      </c>
      <c r="F69" s="84"/>
      <c r="G69" s="84"/>
      <c r="H69" s="84"/>
      <c r="I69" s="84"/>
      <c r="J69" s="84"/>
      <c r="K69" s="84"/>
      <c r="Q69" s="95"/>
      <c r="Z69" s="113"/>
    </row>
    <row r="70" spans="1:26" s="83" customFormat="1" ht="10.5">
      <c r="A70" s="85"/>
      <c r="C70" s="105" t="s">
        <v>52</v>
      </c>
      <c r="D70" s="106"/>
      <c r="E70" s="107">
        <v>132880.84</v>
      </c>
      <c r="F70" s="84"/>
      <c r="G70" s="84"/>
      <c r="H70" s="84"/>
      <c r="I70" s="84"/>
      <c r="J70" s="84"/>
      <c r="K70" s="84"/>
      <c r="Q70" s="95"/>
      <c r="Z70" s="113"/>
    </row>
    <row r="71" spans="1:26" s="83" customFormat="1" ht="10.5">
      <c r="A71" s="85"/>
      <c r="C71" s="103" t="s">
        <v>53</v>
      </c>
      <c r="D71" s="95"/>
      <c r="E71" s="104">
        <f>SUM(E69:E70)</f>
        <v>150207.50666666665</v>
      </c>
      <c r="F71" s="84"/>
      <c r="G71" s="84"/>
      <c r="H71" s="84"/>
      <c r="I71" s="84"/>
      <c r="J71" s="84"/>
      <c r="K71" s="84"/>
      <c r="Q71" s="95"/>
      <c r="Z71" s="113"/>
    </row>
    <row r="72" spans="1:26" s="83" customFormat="1" ht="10.5">
      <c r="A72" s="85"/>
      <c r="C72" s="103"/>
      <c r="D72" s="95"/>
      <c r="E72" s="104"/>
      <c r="F72" s="84"/>
      <c r="G72" s="84"/>
      <c r="H72" s="84"/>
      <c r="I72" s="84"/>
      <c r="J72" s="84"/>
      <c r="K72" s="84"/>
      <c r="Q72" s="95"/>
      <c r="Z72" s="113"/>
    </row>
    <row r="73" spans="1:26" s="83" customFormat="1" ht="21">
      <c r="A73" s="85"/>
      <c r="C73" s="114" t="s">
        <v>54</v>
      </c>
      <c r="D73" s="106"/>
      <c r="E73" s="107">
        <f>1495*4.5</f>
        <v>6727.5</v>
      </c>
      <c r="F73" s="84"/>
      <c r="G73" s="84"/>
      <c r="H73" s="84"/>
      <c r="I73" s="84"/>
      <c r="J73" s="84"/>
      <c r="K73" s="84"/>
      <c r="Q73" s="95"/>
      <c r="Z73" s="113"/>
    </row>
    <row r="74" spans="1:26" s="83" customFormat="1" ht="10.5">
      <c r="A74" s="85"/>
      <c r="E74" s="84">
        <f>SUM(E73)</f>
        <v>6727.5</v>
      </c>
      <c r="F74" s="84"/>
      <c r="G74" s="84"/>
      <c r="H74" s="84"/>
      <c r="I74" s="84"/>
      <c r="J74" s="84"/>
      <c r="K74" s="84"/>
      <c r="Q74" s="95"/>
      <c r="Z74" s="113"/>
    </row>
    <row r="75" spans="1:26" s="83" customFormat="1" ht="10.5">
      <c r="A75" s="85"/>
      <c r="E75" s="84"/>
      <c r="F75" s="84"/>
      <c r="G75" s="84"/>
      <c r="H75" s="84"/>
      <c r="I75" s="84"/>
      <c r="J75" s="84"/>
      <c r="K75" s="84"/>
      <c r="Q75" s="95"/>
      <c r="Z75" s="113"/>
    </row>
  </sheetData>
  <mergeCells count="5">
    <mergeCell ref="A12:C12"/>
    <mergeCell ref="C55:R55"/>
    <mergeCell ref="C56:P56"/>
    <mergeCell ref="C59:P59"/>
    <mergeCell ref="C57:M57"/>
  </mergeCells>
  <printOptions/>
  <pageMargins left="0.49" right="0.44" top="1" bottom="0.81" header="0.5" footer="0.5"/>
  <pageSetup fitToHeight="1" fitToWidth="1" horizontalDpi="600" verticalDpi="600" orientation="landscape" paperSize="5" scale="60" r:id="rId1"/>
  <headerFooter alignWithMargins="0">
    <oddHeader>&amp;C&amp;"Arial,Bold Italic"&amp;12ITS Printing and Graphics Arts
Projected Financial Performance
2006 Forecast with 09/30/2006 Actual &amp;R&amp;"Arial,Bold Italic"&amp;14&amp;A</oddHeader>
    <oddFooter>&amp;L&amp;8&amp;A
Sept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Blossey, Linda</cp:lastModifiedBy>
  <cp:lastPrinted>2006-10-26T14:59:38Z</cp:lastPrinted>
  <dcterms:created xsi:type="dcterms:W3CDTF">2006-10-24T15:43:59Z</dcterms:created>
  <dcterms:modified xsi:type="dcterms:W3CDTF">2006-11-02T17:01:37Z</dcterms:modified>
  <cp:category/>
  <cp:version/>
  <cp:contentType/>
  <cp:contentStatus/>
</cp:coreProperties>
</file>