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5" yWindow="105" windowWidth="13080" windowHeight="11805" activeTab="0"/>
  </bookViews>
  <sheets>
    <sheet name="Fiscal Note" sheetId="5" r:id="rId1"/>
    <sheet name="PSB Alternative Analysis" sheetId="2" r:id="rId2"/>
  </sheets>
  <definedNames>
    <definedName name="_xlnm.Print_Area" localSheetId="0">'Fiscal Note'!$A$1:$H$65</definedName>
  </definedNames>
  <calcPr calcId="145621" iterate="1" iterateCount="100" iterateDelta="0.001"/>
</workbook>
</file>

<file path=xl/comments2.xml><?xml version="1.0" encoding="utf-8"?>
<comments xmlns="http://schemas.openxmlformats.org/spreadsheetml/2006/main">
  <authors>
    <author>rubardta</author>
  </authors>
  <commentList>
    <comment ref="E11" authorId="0">
      <text>
        <r>
          <rPr>
            <sz val="9"/>
            <rFont val="Tahoma"/>
            <family val="2"/>
          </rPr>
          <t xml:space="preserve">LIPA is currently 12.5% of total Seattle assessed value.
</t>
        </r>
      </text>
    </comment>
  </commentList>
</comments>
</file>

<file path=xl/sharedStrings.xml><?xml version="1.0" encoding="utf-8"?>
<sst xmlns="http://schemas.openxmlformats.org/spreadsheetml/2006/main" count="124" uniqueCount="63">
  <si>
    <t>FISCAL NOTE</t>
  </si>
  <si>
    <t>Fund/Agency</t>
  </si>
  <si>
    <t xml:space="preserve">TOTAL </t>
  </si>
  <si>
    <t>TOTAL</t>
  </si>
  <si>
    <t>Fund Code</t>
  </si>
  <si>
    <t>Revenue Source</t>
  </si>
  <si>
    <t>Revenue:</t>
  </si>
  <si>
    <t>Expenditures:</t>
  </si>
  <si>
    <t>Expenditures by Category</t>
  </si>
  <si>
    <t>Appropriation Unit</t>
  </si>
  <si>
    <t>Impact of the above legislation on the fiscal affairs of King County is estimated to be:</t>
  </si>
  <si>
    <t>Note Reviewed By:  Aaron Rubardt , Office of Performance, Strategy, and Budget (PSB)</t>
  </si>
  <si>
    <r>
      <t xml:space="preserve">KC TDR Bank </t>
    </r>
    <r>
      <rPr>
        <vertAlign val="superscript"/>
        <sz val="12"/>
        <rFont val="Calibri"/>
        <family val="2"/>
        <scheme val="minor"/>
      </rPr>
      <t xml:space="preserve">2  </t>
    </r>
    <r>
      <rPr>
        <sz val="12"/>
        <rFont val="Calibri"/>
        <family val="2"/>
        <scheme val="minor"/>
      </rPr>
      <t>/ DNRP</t>
    </r>
  </si>
  <si>
    <r>
      <t>KC TDR Bank</t>
    </r>
    <r>
      <rPr>
        <vertAlign val="superscript"/>
        <sz val="12"/>
        <rFont val="Calibri"/>
        <family val="2"/>
        <scheme val="minor"/>
      </rPr>
      <t xml:space="preserve"> 4 </t>
    </r>
    <r>
      <rPr>
        <sz val="12"/>
        <rFont val="Calibri"/>
        <family val="2"/>
        <scheme val="minor"/>
      </rPr>
      <t>/ DNRP</t>
    </r>
  </si>
  <si>
    <t>TDR Bank use of revenue to purchase development rights for farm &amp; forest land protection</t>
  </si>
  <si>
    <t xml:space="preserve">Affected Agency and/or Agencies:  Water and Land Resources Division, Department of Natural Resources and Parks </t>
  </si>
  <si>
    <t>Ordinance/Motion No.  2013-XXXX</t>
  </si>
  <si>
    <t>Title:  Interlocal Agreement with the City of Seattle for Transfer of Development Rights (TDR)</t>
  </si>
  <si>
    <t>Note Prepared By:  Darren Greve, WLRD, DNRP</t>
  </si>
  <si>
    <t>2.  Revenues to the King County TDR Bank represent proceeds from sale of TDRs, that are currently held by the TDR Bank, to developers within the City's LIPA for increased development capacity; revenues represent KC TDR Bank capturing approximately 50% of annual TDR sales to in-city developers for all 800 TDRs that can be sold into the LIPA.</t>
  </si>
  <si>
    <t>4.  Expenditures from the KC TDR Bank represent the Bank revolving revenue it receives from the sale of TDRs in order to purchase development rights for farm and forest land protection; figures represent KC TDR Bank spending between 75% and 100% of the proceeds it received the previous year, and spending full amount received by 2031.</t>
  </si>
  <si>
    <t xml:space="preserve">Notes:                                                                                                                                                                                                                                                                                                                                              </t>
  </si>
  <si>
    <t>Source</t>
  </si>
  <si>
    <t>OEFA</t>
  </si>
  <si>
    <t>Countywide New Construction Forecast</t>
  </si>
  <si>
    <t>4.5% assumed increase</t>
  </si>
  <si>
    <t>3.0% assumed increase</t>
  </si>
  <si>
    <t>Countywide New Construction</t>
  </si>
  <si>
    <t>Year</t>
  </si>
  <si>
    <t>LIPA Increment</t>
  </si>
  <si>
    <t>Cumulative New Construction</t>
  </si>
  <si>
    <t>LIPA Projection</t>
  </si>
  <si>
    <t>Total Diversion</t>
  </si>
  <si>
    <t>Low</t>
  </si>
  <si>
    <t>High</t>
  </si>
  <si>
    <t>PSB Estimated Total GF Property Tax Increment Diversion Range</t>
  </si>
  <si>
    <t>GF Levy  Rate</t>
  </si>
  <si>
    <t>External Consultant Estimate</t>
  </si>
  <si>
    <t>Seattle New Construction @ 35%</t>
  </si>
  <si>
    <t>Seattle New Construction @ 40%</t>
  </si>
  <si>
    <t>LIPA Portion of New Construction @25%</t>
  </si>
  <si>
    <t>Low Estimate (relative stability, new construction trends continue, with a small increase in the LIPA, Levy rate reduces as assessed value increases)</t>
  </si>
  <si>
    <t>High Estimate (new construction becomes increasingly concentrated in Seattle, Levy rate increases as countywide assessed value decreases)</t>
  </si>
  <si>
    <t>Transfer of GF property tax increment to City of Seattle for infrastructure investments in LIPA</t>
  </si>
  <si>
    <t>Property Taxes</t>
  </si>
  <si>
    <t>Tax Diversion</t>
  </si>
  <si>
    <t>TDR Sales</t>
  </si>
  <si>
    <r>
      <t xml:space="preserve">General Fund </t>
    </r>
    <r>
      <rPr>
        <vertAlign val="superscript"/>
        <sz val="12"/>
        <rFont val="Calibri"/>
        <family val="2"/>
        <scheme val="minor"/>
      </rPr>
      <t>1,5</t>
    </r>
  </si>
  <si>
    <r>
      <t>General Fund</t>
    </r>
    <r>
      <rPr>
        <vertAlign val="superscript"/>
        <sz val="12"/>
        <rFont val="Calibri"/>
        <family val="2"/>
        <scheme val="minor"/>
      </rPr>
      <t xml:space="preserve"> 3,5</t>
    </r>
  </si>
  <si>
    <r>
      <t xml:space="preserve">2016 </t>
    </r>
    <r>
      <rPr>
        <b/>
        <vertAlign val="superscript"/>
        <sz val="12"/>
        <rFont val="Calibri"/>
        <family val="2"/>
        <scheme val="minor"/>
      </rPr>
      <t>6</t>
    </r>
  </si>
  <si>
    <t>Foregone GF</t>
  </si>
  <si>
    <t>TDR Revenue</t>
  </si>
  <si>
    <t>TDR Expenditures</t>
  </si>
  <si>
    <t>6. This legislation enters into an agreement that extends to 2039.  Detailed cash flow figures are below for the outyears.</t>
  </si>
  <si>
    <t>LIPA Portion of New Construction @50%</t>
  </si>
  <si>
    <t>WLR TDR Bank</t>
  </si>
  <si>
    <t>23.26% (Sponsoring City Ratio)</t>
  </si>
  <si>
    <r>
      <t xml:space="preserve">5.  Property tax estimates were generated by independent consultants hired by the City of Seattle.  The actual property tax collections will vary.  </t>
    </r>
    <r>
      <rPr>
        <i/>
        <sz val="12"/>
        <rFont val="Calibri"/>
        <family val="2"/>
        <scheme val="minor"/>
      </rPr>
      <t xml:space="preserve">PSB has reviewed the model and has developed an additional model that estimates the incremental property taxes diverted to the city of Seattle to be between $15.5M and $51.2M.  The independent consultants estimate of $28.6M is within these bounds. </t>
    </r>
    <r>
      <rPr>
        <sz val="12"/>
        <rFont val="Calibri"/>
        <family val="2"/>
        <scheme val="minor"/>
      </rPr>
      <t xml:space="preserve"> The actual transfer will be calculated by the Department of Assessments and is influenced by new construction levels in Downtown Seattle, overall countywide assessed value, and the General Fund property tax levy rate. </t>
    </r>
  </si>
  <si>
    <t>totals</t>
  </si>
  <si>
    <t>New GF Revenue</t>
  </si>
  <si>
    <t>Retained GF</t>
  </si>
  <si>
    <r>
      <t xml:space="preserve">1.  Revenues represent King County's total General Fund property tax revenue from new construction, located within the Local Infrastructure Project Area (LIPA) in Seattle, that occurs after date of City's adoption of the LIPA in 2013.  After 25 years King County would stop revenue transfers to the city and capture 100% of its property tax share.  </t>
    </r>
    <r>
      <rPr>
        <i/>
        <sz val="12"/>
        <rFont val="Calibri"/>
        <family val="2"/>
        <scheme val="minor"/>
      </rPr>
      <t>It is estimated that the LIPA will generate over $163 million in new general fund property taxes over the life of the program; this represents net present value of $98.8 million, assuming a 3% discount rate over 25 years.</t>
    </r>
  </si>
  <si>
    <r>
      <t xml:space="preserve">3.  Expenditures represent 17.44% of KC's share of the General Fund property tax revenue from new construction that is transferred for 25 years to the City of Seattle for City infrastructure investments in the LIPA to support additional density/development.  Department of Assessments will calculate the tax increment in the LIPA in a designated levy code and provide that information to King County Treasury who will distribute the dollars to the city semi-annually.  The funds will go directly to the city of Seattle for public improvements in the LIPA, which will not require an appropriation.  </t>
    </r>
    <r>
      <rPr>
        <i/>
        <sz val="12"/>
        <rFont val="Calibri"/>
        <family val="2"/>
        <scheme val="minor"/>
      </rPr>
      <t xml:space="preserve">It is estimated that the General Fund will forego $28.5M in property taxes over the life of the program, which represents approximate 0.11% of General Fund expenditures over the same period.  This represents a net present value of $17.3M, assuming a 3% discount rate over the 25 year period.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</si>
</sst>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2">
    <font>
      <sz val="10"/>
      <name val="Arial"/>
      <family val="2"/>
    </font>
    <font>
      <sz val="12"/>
      <name val="Calibri"/>
      <family val="2"/>
      <scheme val="minor"/>
    </font>
    <font>
      <b/>
      <sz val="12"/>
      <name val="Calibri"/>
      <family val="2"/>
      <scheme val="minor"/>
    </font>
    <font>
      <vertAlign val="superscript"/>
      <sz val="12"/>
      <name val="Calibri"/>
      <family val="2"/>
      <scheme val="minor"/>
    </font>
    <font>
      <sz val="12"/>
      <name val="Arial"/>
      <family val="2"/>
    </font>
    <font>
      <sz val="11"/>
      <name val="Calibri"/>
      <family val="2"/>
      <scheme val="minor"/>
    </font>
    <font>
      <b/>
      <sz val="11"/>
      <name val="Calibri"/>
      <family val="2"/>
      <scheme val="minor"/>
    </font>
    <font>
      <sz val="9"/>
      <name val="Tahoma"/>
      <family val="2"/>
    </font>
    <font>
      <i/>
      <sz val="12"/>
      <name val="Calibri"/>
      <family val="2"/>
      <scheme val="minor"/>
    </font>
    <font>
      <b/>
      <vertAlign val="superscript"/>
      <sz val="12"/>
      <name val="Calibri"/>
      <family val="2"/>
      <scheme val="minor"/>
    </font>
    <font>
      <i/>
      <sz val="10"/>
      <name val="Arial"/>
      <family val="2"/>
    </font>
    <font>
      <b/>
      <sz val="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7">
    <xf numFmtId="0" fontId="0" fillId="0" borderId="0" xfId="0"/>
    <xf numFmtId="0" fontId="0" fillId="0" borderId="0" xfId="0" applyFont="1"/>
    <xf numFmtId="0" fontId="0" fillId="0" borderId="0" xfId="0" applyFont="1" applyBorder="1"/>
    <xf numFmtId="0" fontId="0"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Continuous"/>
    </xf>
    <xf numFmtId="0" fontId="1" fillId="0" borderId="0" xfId="0" applyFont="1" applyAlignment="1">
      <alignment horizontal="centerContinuous"/>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0" xfId="0" applyFont="1" applyBorder="1" applyAlignment="1">
      <alignment horizontal="center"/>
    </xf>
    <xf numFmtId="0" fontId="1" fillId="0" borderId="5" xfId="0" applyFont="1" applyBorder="1"/>
    <xf numFmtId="0" fontId="1" fillId="0" borderId="6" xfId="0" applyFont="1" applyBorder="1"/>
    <xf numFmtId="0" fontId="1" fillId="0" borderId="7" xfId="0" applyFont="1" applyBorder="1"/>
    <xf numFmtId="0" fontId="1" fillId="0" borderId="7" xfId="0" applyFont="1" applyBorder="1" applyAlignment="1">
      <alignment horizontal="center"/>
    </xf>
    <xf numFmtId="0" fontId="1" fillId="0" borderId="8" xfId="0" applyFont="1" applyBorder="1"/>
    <xf numFmtId="0" fontId="1" fillId="0" borderId="0" xfId="0" applyFont="1"/>
    <xf numFmtId="0" fontId="2" fillId="0" borderId="0" xfId="0" applyFont="1"/>
    <xf numFmtId="0" fontId="2" fillId="0" borderId="9" xfId="0"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1" fillId="0" borderId="11" xfId="0" applyFont="1" applyBorder="1"/>
    <xf numFmtId="3" fontId="1" fillId="0" borderId="0" xfId="0" applyNumberFormat="1" applyFont="1"/>
    <xf numFmtId="0" fontId="2" fillId="0" borderId="0" xfId="0" applyFont="1" applyBorder="1"/>
    <xf numFmtId="0" fontId="1" fillId="0" borderId="11" xfId="0" applyFont="1" applyBorder="1" applyAlignment="1">
      <alignment horizontal="center" vertical="center"/>
    </xf>
    <xf numFmtId="0" fontId="1" fillId="0" borderId="11" xfId="0" applyFont="1" applyBorder="1" applyAlignment="1">
      <alignment vertical="center"/>
    </xf>
    <xf numFmtId="38" fontId="2" fillId="0" borderId="11" xfId="0" applyNumberFormat="1" applyFont="1" applyBorder="1" applyAlignment="1">
      <alignment vertical="center"/>
    </xf>
    <xf numFmtId="38" fontId="2" fillId="0" borderId="12" xfId="0" applyNumberFormat="1" applyFont="1" applyBorder="1" applyAlignment="1">
      <alignment vertical="center"/>
    </xf>
    <xf numFmtId="38" fontId="1" fillId="0" borderId="10" xfId="18" applyNumberFormat="1" applyFont="1" applyBorder="1" applyAlignment="1">
      <alignment vertical="center"/>
    </xf>
    <xf numFmtId="38" fontId="1" fillId="0" borderId="10" xfId="0" applyNumberFormat="1" applyFont="1" applyBorder="1" applyAlignment="1">
      <alignment vertical="center"/>
    </xf>
    <xf numFmtId="0" fontId="2" fillId="0" borderId="9" xfId="0" applyFont="1" applyBorder="1" applyAlignment="1">
      <alignment horizontal="center" wrapText="1"/>
    </xf>
    <xf numFmtId="0" fontId="1" fillId="0" borderId="0" xfId="0" applyFont="1" applyBorder="1" applyAlignment="1">
      <alignment vertical="top"/>
    </xf>
    <xf numFmtId="0" fontId="4" fillId="0" borderId="0" xfId="0" applyFont="1"/>
    <xf numFmtId="0" fontId="2" fillId="0" borderId="10" xfId="0" applyFont="1" applyBorder="1" applyAlignment="1">
      <alignment horizontal="center"/>
    </xf>
    <xf numFmtId="0" fontId="5" fillId="2" borderId="0" xfId="0" applyFont="1" applyFill="1" applyBorder="1" applyAlignment="1">
      <alignment horizontal="center" vertical="center"/>
    </xf>
    <xf numFmtId="0" fontId="5" fillId="0" borderId="0" xfId="0" applyFont="1" applyBorder="1"/>
    <xf numFmtId="166" fontId="5" fillId="2" borderId="0" xfId="16" applyNumberFormat="1" applyFont="1" applyFill="1" applyBorder="1" applyAlignment="1">
      <alignment horizontal="center" vertical="center"/>
    </xf>
    <xf numFmtId="166" fontId="5" fillId="0" borderId="0" xfId="16" applyNumberFormat="1" applyFont="1" applyBorder="1"/>
    <xf numFmtId="0" fontId="5" fillId="0" borderId="0" xfId="0" applyFont="1" applyBorder="1" applyAlignment="1">
      <alignment horizontal="center"/>
    </xf>
    <xf numFmtId="0" fontId="6" fillId="0" borderId="0" xfId="0" applyFont="1" applyBorder="1" applyAlignment="1">
      <alignment horizontal="center"/>
    </xf>
    <xf numFmtId="0" fontId="6" fillId="0" borderId="0" xfId="0" applyFont="1" applyBorder="1"/>
    <xf numFmtId="166" fontId="5" fillId="0" borderId="0" xfId="0" applyNumberFormat="1" applyFont="1" applyBorder="1"/>
    <xf numFmtId="166" fontId="6" fillId="0" borderId="0" xfId="0" applyNumberFormat="1" applyFont="1" applyBorder="1"/>
    <xf numFmtId="0" fontId="5" fillId="0" borderId="0" xfId="0" applyFont="1" applyBorder="1" applyAlignment="1">
      <alignment horizontal="right"/>
    </xf>
    <xf numFmtId="2" fontId="5" fillId="0" borderId="0" xfId="0" applyNumberFormat="1" applyFont="1" applyBorder="1" applyAlignment="1">
      <alignment horizontal="center"/>
    </xf>
    <xf numFmtId="0" fontId="6" fillId="0" borderId="0" xfId="0" applyFont="1" applyBorder="1" applyAlignment="1">
      <alignment/>
    </xf>
    <xf numFmtId="166" fontId="0" fillId="0" borderId="0" xfId="0" applyNumberFormat="1" applyFont="1" applyBorder="1"/>
    <xf numFmtId="165" fontId="0" fillId="0" borderId="0" xfId="0" applyNumberFormat="1" applyFont="1"/>
    <xf numFmtId="10" fontId="0" fillId="0" borderId="0" xfId="15" applyNumberFormat="1" applyFont="1"/>
    <xf numFmtId="0" fontId="1" fillId="0" borderId="10" xfId="0" applyFont="1" applyBorder="1" applyAlignment="1">
      <alignment horizontal="center"/>
    </xf>
    <xf numFmtId="0" fontId="1" fillId="0" borderId="10" xfId="0" applyFont="1" applyBorder="1" applyAlignment="1">
      <alignment vertical="center"/>
    </xf>
    <xf numFmtId="0" fontId="1" fillId="0" borderId="13" xfId="0" applyFont="1" applyBorder="1"/>
    <xf numFmtId="0" fontId="1" fillId="0" borderId="9" xfId="0" applyFont="1" applyBorder="1"/>
    <xf numFmtId="0" fontId="1" fillId="0" borderId="9" xfId="0" applyFont="1" applyBorder="1" applyAlignment="1">
      <alignment horizontal="center"/>
    </xf>
    <xf numFmtId="0" fontId="1" fillId="0" borderId="14" xfId="20" applyFont="1" applyFill="1" applyBorder="1" applyAlignment="1">
      <alignment vertical="center"/>
      <protection/>
    </xf>
    <xf numFmtId="0" fontId="1" fillId="0" borderId="15" xfId="0" applyFont="1" applyBorder="1" applyAlignment="1">
      <alignment vertical="center"/>
    </xf>
    <xf numFmtId="0" fontId="2" fillId="0" borderId="10" xfId="0" applyFont="1" applyBorder="1"/>
    <xf numFmtId="0" fontId="1" fillId="0" borderId="10" xfId="0" applyFont="1" applyBorder="1" applyAlignment="1">
      <alignment horizontal="left" vertical="center"/>
    </xf>
    <xf numFmtId="0" fontId="2" fillId="0" borderId="13" xfId="0" applyFont="1" applyBorder="1"/>
    <xf numFmtId="0" fontId="2" fillId="0" borderId="9" xfId="0" applyFont="1" applyBorder="1"/>
    <xf numFmtId="0" fontId="1" fillId="0" borderId="14" xfId="0" applyFont="1" applyBorder="1" applyAlignment="1">
      <alignment horizontal="left" vertical="center"/>
    </xf>
    <xf numFmtId="0" fontId="1" fillId="0" borderId="15" xfId="0" applyFont="1" applyBorder="1"/>
    <xf numFmtId="38" fontId="1" fillId="0" borderId="16" xfId="0" applyNumberFormat="1" applyFont="1" applyBorder="1" applyAlignment="1">
      <alignment vertical="center"/>
    </xf>
    <xf numFmtId="0" fontId="2" fillId="0" borderId="9" xfId="0" applyFont="1" applyBorder="1" applyAlignment="1">
      <alignment vertical="center"/>
    </xf>
    <xf numFmtId="165" fontId="1" fillId="0" borderId="10" xfId="18" applyNumberFormat="1" applyFont="1" applyBorder="1" applyAlignment="1">
      <alignment vertical="center"/>
    </xf>
    <xf numFmtId="165" fontId="1" fillId="0" borderId="16" xfId="18" applyNumberFormat="1" applyFont="1" applyBorder="1" applyAlignment="1">
      <alignment vertical="center"/>
    </xf>
    <xf numFmtId="38" fontId="1" fillId="0" borderId="10" xfId="18" applyNumberFormat="1" applyFont="1" applyFill="1" applyBorder="1" applyAlignment="1">
      <alignment vertical="center"/>
    </xf>
    <xf numFmtId="38" fontId="2" fillId="0" borderId="11" xfId="0" applyNumberFormat="1" applyFont="1" applyFill="1" applyBorder="1" applyAlignment="1">
      <alignment vertical="center"/>
    </xf>
    <xf numFmtId="38" fontId="2" fillId="0" borderId="0" xfId="0" applyNumberFormat="1" applyFont="1" applyFill="1" applyBorder="1" applyAlignment="1">
      <alignment vertical="center"/>
    </xf>
    <xf numFmtId="38" fontId="2" fillId="0" borderId="0" xfId="0" applyNumberFormat="1" applyFont="1" applyBorder="1" applyAlignment="1">
      <alignment vertical="center"/>
    </xf>
    <xf numFmtId="3" fontId="1" fillId="0" borderId="0" xfId="0" applyNumberFormat="1" applyFont="1" applyAlignment="1">
      <alignment vertical="center"/>
    </xf>
    <xf numFmtId="0" fontId="1" fillId="0" borderId="0" xfId="0" applyFont="1" applyAlignment="1">
      <alignment vertical="center"/>
    </xf>
    <xf numFmtId="0" fontId="2" fillId="0" borderId="17" xfId="0" applyFont="1" applyBorder="1" applyAlignment="1">
      <alignment horizontal="right" vertical="center"/>
    </xf>
    <xf numFmtId="164" fontId="1" fillId="0" borderId="10"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2" fillId="0" borderId="9" xfId="0"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43" fontId="4" fillId="0" borderId="0" xfId="0" applyNumberFormat="1" applyFont="1"/>
    <xf numFmtId="9" fontId="6" fillId="0" borderId="0" xfId="0" applyNumberFormat="1" applyFont="1" applyBorder="1" applyAlignment="1">
      <alignment horizontal="center"/>
    </xf>
    <xf numFmtId="0" fontId="1" fillId="0" borderId="0" xfId="0" applyFont="1" applyFill="1" applyBorder="1"/>
    <xf numFmtId="0" fontId="2" fillId="0" borderId="0" xfId="0" applyFont="1" applyFill="1" applyBorder="1" applyAlignment="1">
      <alignment horizontal="center"/>
    </xf>
    <xf numFmtId="0" fontId="1" fillId="0" borderId="0" xfId="0" applyFont="1" applyFill="1"/>
    <xf numFmtId="0" fontId="1" fillId="0" borderId="0" xfId="0" applyFont="1" applyFill="1" applyAlignment="1">
      <alignment horizontal="center"/>
    </xf>
    <xf numFmtId="166" fontId="1" fillId="0" borderId="0" xfId="16" applyNumberFormat="1" applyFont="1" applyFill="1" applyAlignment="1">
      <alignment horizontal="center"/>
    </xf>
    <xf numFmtId="0" fontId="0" fillId="0" borderId="0" xfId="0" applyFont="1" applyFill="1"/>
    <xf numFmtId="166" fontId="1" fillId="0" borderId="0" xfId="16" applyNumberFormat="1" applyFont="1" applyFill="1"/>
    <xf numFmtId="0" fontId="0" fillId="0" borderId="0" xfId="0" applyFont="1" applyFill="1" applyAlignment="1">
      <alignment horizontal="center"/>
    </xf>
    <xf numFmtId="0" fontId="10" fillId="0" borderId="0" xfId="0" applyFont="1" applyFill="1" applyAlignment="1">
      <alignment horizontal="center"/>
    </xf>
    <xf numFmtId="166" fontId="10" fillId="0" borderId="0" xfId="0" applyNumberFormat="1" applyFont="1" applyFill="1"/>
    <xf numFmtId="0" fontId="1" fillId="0" borderId="0" xfId="0" applyFont="1" applyFill="1" applyBorder="1" applyAlignment="1">
      <alignment vertical="top" wrapText="1"/>
    </xf>
    <xf numFmtId="0" fontId="1" fillId="0" borderId="4" xfId="0" applyFont="1" applyBorder="1" applyAlignment="1">
      <alignment horizontal="left" wrapText="1"/>
    </xf>
    <xf numFmtId="0" fontId="1" fillId="0" borderId="0" xfId="0" applyFont="1" applyAlignment="1">
      <alignment wrapText="1"/>
    </xf>
    <xf numFmtId="0" fontId="1" fillId="0" borderId="5" xfId="0" applyFont="1" applyBorder="1" applyAlignment="1">
      <alignment wrapText="1"/>
    </xf>
    <xf numFmtId="0" fontId="1" fillId="0" borderId="14" xfId="20" applyFont="1" applyBorder="1" applyAlignment="1">
      <alignment horizontal="left" vertical="top" wrapText="1"/>
      <protection/>
    </xf>
    <xf numFmtId="0" fontId="1" fillId="0" borderId="10" xfId="0" applyFont="1" applyBorder="1" applyAlignment="1">
      <alignment wrapText="1"/>
    </xf>
    <xf numFmtId="0" fontId="1" fillId="0" borderId="14" xfId="20" applyFont="1" applyBorder="1" applyAlignment="1">
      <alignment vertical="center" wrapText="1"/>
      <protection/>
    </xf>
    <xf numFmtId="0" fontId="1" fillId="0" borderId="10" xfId="0" applyFont="1" applyBorder="1" applyAlignment="1">
      <alignment vertical="center" wrapText="1"/>
    </xf>
    <xf numFmtId="0" fontId="2" fillId="0" borderId="0" xfId="0" applyFont="1" applyFill="1" applyBorder="1" applyAlignment="1">
      <alignment vertical="top"/>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tabSelected="1" zoomScale="80" zoomScaleNormal="80" workbookViewId="0" topLeftCell="A1">
      <selection activeCell="J33" sqref="J33"/>
    </sheetView>
  </sheetViews>
  <sheetFormatPr defaultColWidth="8.8515625" defaultRowHeight="12.75"/>
  <cols>
    <col min="1" max="1" width="25.28125" style="1" customWidth="1"/>
    <col min="2" max="2" width="14.00390625" style="1" bestFit="1" customWidth="1"/>
    <col min="3" max="3" width="11.140625" style="3" bestFit="1" customWidth="1"/>
    <col min="4" max="4" width="18.8515625" style="1" customWidth="1"/>
    <col min="5" max="8" width="18.7109375" style="1" customWidth="1"/>
    <col min="9" max="9" width="17.28125" style="1" bestFit="1" customWidth="1"/>
    <col min="10" max="10" width="13.00390625" style="1" bestFit="1" customWidth="1"/>
    <col min="11" max="16384" width="8.8515625" style="1" customWidth="1"/>
  </cols>
  <sheetData>
    <row r="1" spans="1:8" ht="15.75">
      <c r="A1" s="4"/>
      <c r="B1" s="4"/>
      <c r="C1" s="5"/>
      <c r="D1" s="6" t="s">
        <v>0</v>
      </c>
      <c r="E1" s="7"/>
      <c r="F1" s="4"/>
      <c r="G1" s="4"/>
      <c r="H1" s="4"/>
    </row>
    <row r="2" spans="1:8" ht="16.5" thickBot="1">
      <c r="A2" s="8"/>
      <c r="B2" s="7"/>
      <c r="C2" s="5"/>
      <c r="D2" s="7"/>
      <c r="E2" s="7"/>
      <c r="F2" s="7"/>
      <c r="G2" s="7"/>
      <c r="H2" s="7"/>
    </row>
    <row r="3" spans="1:8" ht="16.5" thickTop="1">
      <c r="A3" s="9" t="s">
        <v>16</v>
      </c>
      <c r="B3" s="10"/>
      <c r="C3" s="11"/>
      <c r="D3" s="12"/>
      <c r="E3" s="12"/>
      <c r="F3" s="12"/>
      <c r="G3" s="12"/>
      <c r="H3" s="13"/>
    </row>
    <row r="4" spans="1:8" ht="15.75">
      <c r="A4" s="99" t="s">
        <v>17</v>
      </c>
      <c r="B4" s="100"/>
      <c r="C4" s="100"/>
      <c r="D4" s="100"/>
      <c r="E4" s="100"/>
      <c r="F4" s="100"/>
      <c r="G4" s="100"/>
      <c r="H4" s="101"/>
    </row>
    <row r="5" spans="1:8" ht="15.75">
      <c r="A5" s="14" t="s">
        <v>15</v>
      </c>
      <c r="B5" s="15"/>
      <c r="C5" s="16"/>
      <c r="D5" s="15"/>
      <c r="E5" s="15"/>
      <c r="F5" s="15"/>
      <c r="G5" s="15"/>
      <c r="H5" s="17"/>
    </row>
    <row r="6" spans="1:8" ht="15.75">
      <c r="A6" s="14" t="s">
        <v>18</v>
      </c>
      <c r="B6" s="15"/>
      <c r="C6" s="16"/>
      <c r="D6" s="15"/>
      <c r="E6" s="15"/>
      <c r="F6" s="15"/>
      <c r="G6" s="15"/>
      <c r="H6" s="17"/>
    </row>
    <row r="7" spans="1:8" ht="16.5" thickBot="1">
      <c r="A7" s="18" t="s">
        <v>11</v>
      </c>
      <c r="B7" s="19"/>
      <c r="C7" s="20"/>
      <c r="D7" s="19"/>
      <c r="E7" s="19"/>
      <c r="F7" s="19"/>
      <c r="G7" s="19"/>
      <c r="H7" s="21"/>
    </row>
    <row r="8" spans="1:8" ht="16.5" thickTop="1">
      <c r="A8" s="22"/>
      <c r="B8" s="22"/>
      <c r="C8" s="5"/>
      <c r="D8" s="15"/>
      <c r="E8" s="15"/>
      <c r="F8" s="15"/>
      <c r="G8" s="15"/>
      <c r="H8" s="15"/>
    </row>
    <row r="9" spans="1:8" ht="22.5" customHeight="1">
      <c r="A9" s="38" t="s">
        <v>10</v>
      </c>
      <c r="B9" s="22"/>
      <c r="C9" s="5"/>
      <c r="D9" s="22"/>
      <c r="E9" s="22"/>
      <c r="F9" s="22"/>
      <c r="G9" s="22"/>
      <c r="H9" s="22"/>
    </row>
    <row r="10" spans="1:8" ht="16.5" thickBot="1">
      <c r="A10" s="23" t="s">
        <v>6</v>
      </c>
      <c r="B10" s="15"/>
      <c r="C10" s="5"/>
      <c r="D10" s="22"/>
      <c r="E10" s="22"/>
      <c r="F10" s="22"/>
      <c r="G10" s="22"/>
      <c r="H10" s="22"/>
    </row>
    <row r="11" spans="1:8" ht="18">
      <c r="A11" s="65" t="s">
        <v>1</v>
      </c>
      <c r="B11" s="66"/>
      <c r="C11" s="24" t="s">
        <v>4</v>
      </c>
      <c r="D11" s="37" t="s">
        <v>5</v>
      </c>
      <c r="E11" s="70">
        <v>2013</v>
      </c>
      <c r="F11" s="70">
        <v>2014</v>
      </c>
      <c r="G11" s="70">
        <v>2015</v>
      </c>
      <c r="H11" s="79" t="s">
        <v>49</v>
      </c>
    </row>
    <row r="12" spans="1:8" s="39" customFormat="1" ht="18">
      <c r="A12" s="67" t="s">
        <v>47</v>
      </c>
      <c r="B12" s="64"/>
      <c r="C12" s="25">
        <v>10</v>
      </c>
      <c r="D12" s="26" t="s">
        <v>44</v>
      </c>
      <c r="E12" s="36"/>
      <c r="F12" s="36"/>
      <c r="G12" s="36">
        <v>183972</v>
      </c>
      <c r="H12" s="69">
        <v>369225</v>
      </c>
    </row>
    <row r="13" spans="1:8" s="39" customFormat="1" ht="18">
      <c r="A13" s="67" t="s">
        <v>12</v>
      </c>
      <c r="B13" s="64"/>
      <c r="C13" s="80">
        <v>3691</v>
      </c>
      <c r="D13" s="26" t="s">
        <v>46</v>
      </c>
      <c r="E13" s="36"/>
      <c r="F13" s="71">
        <v>874436.441526</v>
      </c>
      <c r="G13" s="71">
        <v>896297</v>
      </c>
      <c r="H13" s="72">
        <v>929978.190800559</v>
      </c>
    </row>
    <row r="14" spans="1:8" ht="15.75">
      <c r="A14" s="67"/>
      <c r="B14" s="64"/>
      <c r="C14" s="80"/>
      <c r="D14" s="26"/>
      <c r="E14" s="73"/>
      <c r="F14" s="36"/>
      <c r="G14" s="36"/>
      <c r="H14" s="69"/>
    </row>
    <row r="15" spans="1:8" ht="16.5" thickBot="1">
      <c r="A15" s="68"/>
      <c r="B15" s="28" t="s">
        <v>2</v>
      </c>
      <c r="C15" s="81"/>
      <c r="D15" s="28"/>
      <c r="E15" s="74">
        <f>SUM(E12:E14)</f>
        <v>0</v>
      </c>
      <c r="F15" s="33">
        <f>SUM(F12:F13)</f>
        <v>874436.441526</v>
      </c>
      <c r="G15" s="33">
        <f>SUM(G12:G13)</f>
        <v>1080269</v>
      </c>
      <c r="H15" s="34">
        <f>SUM(H12:H13)</f>
        <v>1299203.190800559</v>
      </c>
    </row>
    <row r="16" spans="1:8" ht="15.75">
      <c r="A16" s="15"/>
      <c r="B16" s="15"/>
      <c r="C16" s="82"/>
      <c r="D16" s="15"/>
      <c r="E16" s="75"/>
      <c r="F16" s="76"/>
      <c r="G16" s="76"/>
      <c r="H16" s="76"/>
    </row>
    <row r="17" spans="1:8" ht="16.5" thickBot="1">
      <c r="A17" s="30" t="s">
        <v>7</v>
      </c>
      <c r="B17" s="15"/>
      <c r="C17" s="82"/>
      <c r="D17" s="22"/>
      <c r="E17" s="78"/>
      <c r="F17" s="78"/>
      <c r="G17" s="78"/>
      <c r="H17" s="78"/>
    </row>
    <row r="18" spans="1:8" ht="18">
      <c r="A18" s="65" t="s">
        <v>1</v>
      </c>
      <c r="B18" s="66"/>
      <c r="C18" s="83" t="s">
        <v>4</v>
      </c>
      <c r="D18" s="24" t="s">
        <v>9</v>
      </c>
      <c r="E18" s="70">
        <v>2013</v>
      </c>
      <c r="F18" s="70">
        <v>2014</v>
      </c>
      <c r="G18" s="70">
        <v>2015</v>
      </c>
      <c r="H18" s="79" t="s">
        <v>49</v>
      </c>
    </row>
    <row r="19" spans="1:10" s="39" customFormat="1" ht="18">
      <c r="A19" s="67" t="s">
        <v>48</v>
      </c>
      <c r="B19" s="63"/>
      <c r="C19" s="84">
        <v>10</v>
      </c>
      <c r="D19" s="56" t="s">
        <v>45</v>
      </c>
      <c r="E19" s="36"/>
      <c r="F19" s="57"/>
      <c r="G19" s="71">
        <v>32195.133698573874</v>
      </c>
      <c r="H19" s="72">
        <v>64614.289950420425</v>
      </c>
      <c r="J19" s="86"/>
    </row>
    <row r="20" spans="1:8" s="39" customFormat="1" ht="18">
      <c r="A20" s="67" t="s">
        <v>13</v>
      </c>
      <c r="B20" s="63"/>
      <c r="C20" s="80">
        <v>3691</v>
      </c>
      <c r="D20" s="85" t="s">
        <v>55</v>
      </c>
      <c r="E20" s="36"/>
      <c r="F20" s="71">
        <v>874436.441526</v>
      </c>
      <c r="G20" s="71">
        <v>655827.3311445</v>
      </c>
      <c r="H20" s="72">
        <v>672223.0144231124</v>
      </c>
    </row>
    <row r="21" spans="1:8" ht="15.75">
      <c r="A21" s="67"/>
      <c r="B21" s="63"/>
      <c r="C21" s="27"/>
      <c r="D21" s="40"/>
      <c r="E21" s="36"/>
      <c r="F21" s="71"/>
      <c r="G21" s="71"/>
      <c r="H21" s="72"/>
    </row>
    <row r="22" spans="1:8" ht="16.5" thickBot="1">
      <c r="A22" s="62"/>
      <c r="B22" s="32" t="s">
        <v>3</v>
      </c>
      <c r="C22" s="31"/>
      <c r="D22" s="32"/>
      <c r="E22" s="33"/>
      <c r="F22" s="33">
        <f>SUM(F19:F20)</f>
        <v>874436.441526</v>
      </c>
      <c r="G22" s="74">
        <f>SUM(G19:G20)</f>
        <v>688022.464843074</v>
      </c>
      <c r="H22" s="34">
        <f>SUM(H19:H20)</f>
        <v>736837.3043735328</v>
      </c>
    </row>
    <row r="23" spans="1:8" ht="18" customHeight="1">
      <c r="A23" s="22"/>
      <c r="B23" s="22"/>
      <c r="C23" s="5"/>
      <c r="D23" s="22"/>
      <c r="E23" s="77"/>
      <c r="F23" s="77"/>
      <c r="G23" s="77"/>
      <c r="H23" s="77"/>
    </row>
    <row r="24" spans="1:9" ht="18" customHeight="1" thickBot="1">
      <c r="A24" s="30" t="s">
        <v>8</v>
      </c>
      <c r="B24" s="15"/>
      <c r="C24" s="16"/>
      <c r="D24" s="15"/>
      <c r="E24" s="78"/>
      <c r="F24" s="78"/>
      <c r="G24" s="78"/>
      <c r="H24" s="78"/>
      <c r="I24" s="55"/>
    </row>
    <row r="25" spans="1:8" ht="18">
      <c r="A25" s="58"/>
      <c r="B25" s="59"/>
      <c r="C25" s="60"/>
      <c r="D25" s="60"/>
      <c r="E25" s="70">
        <v>2013</v>
      </c>
      <c r="F25" s="70">
        <v>2014</v>
      </c>
      <c r="G25" s="70">
        <v>2015</v>
      </c>
      <c r="H25" s="79" t="s">
        <v>49</v>
      </c>
    </row>
    <row r="26" spans="1:9" ht="30.75" customHeight="1">
      <c r="A26" s="102" t="s">
        <v>43</v>
      </c>
      <c r="B26" s="103"/>
      <c r="C26" s="103"/>
      <c r="D26" s="103"/>
      <c r="E26" s="35"/>
      <c r="F26" s="36"/>
      <c r="G26" s="71">
        <v>32195.133698573874</v>
      </c>
      <c r="H26" s="72">
        <v>64614.289950420425</v>
      </c>
      <c r="I26" s="54"/>
    </row>
    <row r="27" spans="1:8" ht="31.5" customHeight="1">
      <c r="A27" s="104" t="s">
        <v>14</v>
      </c>
      <c r="B27" s="105"/>
      <c r="C27" s="105"/>
      <c r="D27" s="105"/>
      <c r="E27" s="35"/>
      <c r="F27" s="36">
        <f>F20</f>
        <v>874436.441526</v>
      </c>
      <c r="G27" s="71">
        <v>655827.3311445</v>
      </c>
      <c r="H27" s="72">
        <v>672223.0144231124</v>
      </c>
    </row>
    <row r="28" spans="1:8" ht="15.75">
      <c r="A28" s="61"/>
      <c r="B28" s="57"/>
      <c r="C28" s="25"/>
      <c r="D28" s="57"/>
      <c r="E28" s="35"/>
      <c r="F28" s="36"/>
      <c r="G28" s="36"/>
      <c r="H28" s="69"/>
    </row>
    <row r="29" spans="1:8" ht="16.5" thickBot="1">
      <c r="A29" s="62" t="s">
        <v>3</v>
      </c>
      <c r="B29" s="32"/>
      <c r="C29" s="31"/>
      <c r="D29" s="32"/>
      <c r="E29" s="33"/>
      <c r="F29" s="33">
        <f aca="true" t="shared" si="0" ref="F29:H29">SUM(F26:F28)</f>
        <v>874436.441526</v>
      </c>
      <c r="G29" s="33">
        <f t="shared" si="0"/>
        <v>688022.464843074</v>
      </c>
      <c r="H29" s="34">
        <f t="shared" si="0"/>
        <v>736837.3043735328</v>
      </c>
    </row>
    <row r="30" spans="1:8" ht="18" customHeight="1">
      <c r="A30" s="22"/>
      <c r="B30" s="22"/>
      <c r="C30" s="5"/>
      <c r="D30" s="22"/>
      <c r="E30" s="29"/>
      <c r="F30" s="29"/>
      <c r="G30" s="29"/>
      <c r="H30" s="29"/>
    </row>
    <row r="31" spans="1:8" s="2" customFormat="1" ht="15.75">
      <c r="A31" s="106" t="s">
        <v>21</v>
      </c>
      <c r="B31" s="106"/>
      <c r="C31" s="106"/>
      <c r="D31" s="106"/>
      <c r="E31" s="106"/>
      <c r="F31" s="106"/>
      <c r="G31" s="106"/>
      <c r="H31" s="106"/>
    </row>
    <row r="32" spans="1:8" s="2" customFormat="1" ht="69" customHeight="1">
      <c r="A32" s="98" t="s">
        <v>61</v>
      </c>
      <c r="B32" s="98"/>
      <c r="C32" s="98"/>
      <c r="D32" s="98"/>
      <c r="E32" s="98"/>
      <c r="F32" s="98"/>
      <c r="G32" s="98"/>
      <c r="H32" s="98"/>
    </row>
    <row r="33" spans="1:8" s="2" customFormat="1" ht="49.5" customHeight="1">
      <c r="A33" s="98" t="s">
        <v>19</v>
      </c>
      <c r="B33" s="98"/>
      <c r="C33" s="98"/>
      <c r="D33" s="98"/>
      <c r="E33" s="98"/>
      <c r="F33" s="98"/>
      <c r="G33" s="98"/>
      <c r="H33" s="98"/>
    </row>
    <row r="34" spans="1:8" s="2" customFormat="1" ht="97.5" customHeight="1">
      <c r="A34" s="98" t="s">
        <v>62</v>
      </c>
      <c r="B34" s="98"/>
      <c r="C34" s="98"/>
      <c r="D34" s="98"/>
      <c r="E34" s="98"/>
      <c r="F34" s="98"/>
      <c r="G34" s="98"/>
      <c r="H34" s="98"/>
    </row>
    <row r="35" spans="1:8" s="2" customFormat="1" ht="52.5" customHeight="1">
      <c r="A35" s="98" t="s">
        <v>20</v>
      </c>
      <c r="B35" s="98"/>
      <c r="C35" s="98"/>
      <c r="D35" s="98"/>
      <c r="E35" s="98"/>
      <c r="F35" s="98"/>
      <c r="G35" s="98"/>
      <c r="H35" s="98"/>
    </row>
    <row r="36" spans="1:8" s="2" customFormat="1" ht="67.5" customHeight="1">
      <c r="A36" s="98" t="s">
        <v>57</v>
      </c>
      <c r="B36" s="98"/>
      <c r="C36" s="98"/>
      <c r="D36" s="98"/>
      <c r="E36" s="98"/>
      <c r="F36" s="98"/>
      <c r="G36" s="98"/>
      <c r="H36" s="98"/>
    </row>
    <row r="37" spans="1:9" s="2" customFormat="1" ht="15.75">
      <c r="A37" s="88" t="s">
        <v>53</v>
      </c>
      <c r="B37" s="88"/>
      <c r="C37" s="82"/>
      <c r="D37" s="88"/>
      <c r="E37" s="75"/>
      <c r="F37" s="75"/>
      <c r="G37" s="75"/>
      <c r="H37" s="75"/>
      <c r="I37" s="53"/>
    </row>
    <row r="38" spans="1:9" s="2" customFormat="1" ht="7.5" customHeight="1">
      <c r="A38" s="88"/>
      <c r="B38" s="88"/>
      <c r="C38" s="82"/>
      <c r="D38" s="88"/>
      <c r="E38" s="75"/>
      <c r="F38" s="75"/>
      <c r="G38" s="75"/>
      <c r="H38" s="75"/>
      <c r="I38" s="53"/>
    </row>
    <row r="39" spans="1:8" s="2" customFormat="1" ht="15.75">
      <c r="A39" s="82"/>
      <c r="B39" s="88"/>
      <c r="C39" s="89" t="s">
        <v>28</v>
      </c>
      <c r="D39" s="89" t="s">
        <v>59</v>
      </c>
      <c r="E39" s="89" t="s">
        <v>60</v>
      </c>
      <c r="F39" s="89" t="s">
        <v>50</v>
      </c>
      <c r="G39" s="89" t="s">
        <v>51</v>
      </c>
      <c r="H39" s="89" t="s">
        <v>52</v>
      </c>
    </row>
    <row r="40" spans="1:10" ht="15.75">
      <c r="A40" s="90"/>
      <c r="B40" s="90"/>
      <c r="C40" s="91">
        <v>2017</v>
      </c>
      <c r="D40" s="92">
        <v>900504.571484393</v>
      </c>
      <c r="E40" s="92">
        <v>742916.2714746242</v>
      </c>
      <c r="F40" s="92">
        <v>157588.30000976878</v>
      </c>
      <c r="G40" s="92">
        <v>953227.6455705733</v>
      </c>
      <c r="H40" s="92">
        <v>697483.6431004193</v>
      </c>
      <c r="J40" s="22"/>
    </row>
    <row r="41" spans="1:10" ht="15.75">
      <c r="A41" s="90"/>
      <c r="B41" s="90"/>
      <c r="C41" s="91">
        <f>C40+1</f>
        <v>2018</v>
      </c>
      <c r="D41" s="92">
        <v>1435868.7690925635</v>
      </c>
      <c r="E41" s="92">
        <v>1184591.7345013649</v>
      </c>
      <c r="F41" s="92">
        <v>251277.0345911986</v>
      </c>
      <c r="G41" s="92">
        <v>977058.3367098372</v>
      </c>
      <c r="H41" s="92">
        <v>714920.7341779299</v>
      </c>
      <c r="J41" s="22"/>
    </row>
    <row r="42" spans="1:10" ht="15.75">
      <c r="A42" s="90"/>
      <c r="B42" s="90"/>
      <c r="C42" s="91">
        <f aca="true" t="shared" si="1" ref="C42:C62">C41+1</f>
        <v>2019</v>
      </c>
      <c r="D42" s="92">
        <v>1974935.1390920887</v>
      </c>
      <c r="E42" s="92">
        <v>1629321.4897509732</v>
      </c>
      <c r="F42" s="92">
        <v>345613.64934111555</v>
      </c>
      <c r="G42" s="92">
        <v>1001484.7951275832</v>
      </c>
      <c r="H42" s="92">
        <v>732793.7525323778</v>
      </c>
      <c r="J42" s="22"/>
    </row>
    <row r="43" spans="1:8" ht="15.75">
      <c r="A43" s="93"/>
      <c r="B43" s="93"/>
      <c r="C43" s="91">
        <f t="shared" si="1"/>
        <v>2020</v>
      </c>
      <c r="D43" s="92">
        <v>2517723.6436594427</v>
      </c>
      <c r="E43" s="92">
        <v>2077122.00601904</v>
      </c>
      <c r="F43" s="92">
        <v>440601.6376404025</v>
      </c>
      <c r="G43" s="92">
        <v>1026521.9150057727</v>
      </c>
      <c r="H43" s="92">
        <v>751113.5963456874</v>
      </c>
    </row>
    <row r="44" spans="1:8" ht="15.75">
      <c r="A44" s="93"/>
      <c r="B44" s="93"/>
      <c r="C44" s="91">
        <f t="shared" si="1"/>
        <v>2021</v>
      </c>
      <c r="D44" s="92">
        <v>3064254.3344335807</v>
      </c>
      <c r="E44" s="92">
        <v>2528009.825907704</v>
      </c>
      <c r="F44" s="92">
        <v>536244.5085258766</v>
      </c>
      <c r="G44" s="92">
        <v>1052184.962880917</v>
      </c>
      <c r="H44" s="92">
        <v>769891.4362543295</v>
      </c>
    </row>
    <row r="45" spans="1:8" ht="15.75">
      <c r="A45" s="93"/>
      <c r="B45" s="93"/>
      <c r="C45" s="91">
        <f t="shared" si="1"/>
        <v>2022</v>
      </c>
      <c r="D45" s="92">
        <v>3614547.35305038</v>
      </c>
      <c r="E45" s="92">
        <v>2982001.5662665637</v>
      </c>
      <c r="F45" s="92">
        <v>632545.7867838165</v>
      </c>
      <c r="G45" s="92">
        <v>1078489.58695294</v>
      </c>
      <c r="H45" s="92">
        <v>789138.7221606877</v>
      </c>
    </row>
    <row r="46" spans="1:8" ht="15.75">
      <c r="A46" s="93"/>
      <c r="B46" s="93"/>
      <c r="C46" s="91">
        <f t="shared" si="1"/>
        <v>2023</v>
      </c>
      <c r="D46" s="92">
        <v>4168622.9316759543</v>
      </c>
      <c r="E46" s="92">
        <v>3439113.9186326624</v>
      </c>
      <c r="F46" s="92">
        <v>729509.013043292</v>
      </c>
      <c r="G46" s="92">
        <v>1105451.8266267634</v>
      </c>
      <c r="H46" s="92">
        <v>808867.1902147051</v>
      </c>
    </row>
    <row r="47" spans="1:8" ht="15.75">
      <c r="A47" s="93"/>
      <c r="B47" s="93"/>
      <c r="C47" s="91">
        <f t="shared" si="1"/>
        <v>2024</v>
      </c>
      <c r="D47" s="92">
        <v>4726501.393538926</v>
      </c>
      <c r="E47" s="92">
        <v>3899363.649669614</v>
      </c>
      <c r="F47" s="92">
        <v>827137.743869312</v>
      </c>
      <c r="G47" s="92">
        <v>1133088.1222924325</v>
      </c>
      <c r="H47" s="92">
        <v>829088.8699700725</v>
      </c>
    </row>
    <row r="48" spans="1:8" ht="15.75">
      <c r="A48" s="93"/>
      <c r="B48" s="93"/>
      <c r="C48" s="91">
        <f t="shared" si="1"/>
        <v>2025</v>
      </c>
      <c r="D48" s="92">
        <v>5288203.153461773</v>
      </c>
      <c r="E48" s="92">
        <v>4362767.601605963</v>
      </c>
      <c r="F48" s="92">
        <v>925435.5518558103</v>
      </c>
      <c r="G48" s="92">
        <v>1161415.3253497435</v>
      </c>
      <c r="H48" s="92">
        <v>849816.0917193244</v>
      </c>
    </row>
    <row r="49" spans="1:8" ht="15.75">
      <c r="A49" s="93"/>
      <c r="B49" s="93"/>
      <c r="C49" s="91">
        <f t="shared" si="1"/>
        <v>2026</v>
      </c>
      <c r="D49" s="92">
        <v>5853748.71839138</v>
      </c>
      <c r="E49" s="92">
        <v>4829342.692672889</v>
      </c>
      <c r="F49" s="92">
        <v>1024406.0257184915</v>
      </c>
      <c r="G49" s="92">
        <v>592450.5</v>
      </c>
      <c r="H49" s="92">
        <v>871061.4940123076</v>
      </c>
    </row>
    <row r="50" spans="1:8" ht="15.75">
      <c r="A50" s="93"/>
      <c r="B50" s="93"/>
      <c r="C50" s="91">
        <f t="shared" si="1"/>
        <v>2027</v>
      </c>
      <c r="D50" s="92">
        <v>6423158.68792884</v>
      </c>
      <c r="E50" s="92">
        <v>5299105.9175412925</v>
      </c>
      <c r="F50" s="92">
        <v>1124052.7703875469</v>
      </c>
      <c r="G50" s="92"/>
      <c r="H50" s="92">
        <v>444337.875</v>
      </c>
    </row>
    <row r="51" spans="1:8" ht="15.75">
      <c r="A51" s="93"/>
      <c r="B51" s="93"/>
      <c r="C51" s="91">
        <f t="shared" si="1"/>
        <v>2028</v>
      </c>
      <c r="D51" s="92">
        <v>6996453.754858676</v>
      </c>
      <c r="E51" s="92">
        <v>5772074.347758408</v>
      </c>
      <c r="F51" s="92">
        <v>1224379.4071002684</v>
      </c>
      <c r="G51" s="92"/>
      <c r="H51" s="92">
        <v>500000</v>
      </c>
    </row>
    <row r="52" spans="1:8" ht="15.75">
      <c r="A52" s="93"/>
      <c r="B52" s="93"/>
      <c r="C52" s="91">
        <f t="shared" si="1"/>
        <v>2029</v>
      </c>
      <c r="D52" s="92">
        <v>7573654.705677506</v>
      </c>
      <c r="E52" s="92">
        <v>6248265.132183942</v>
      </c>
      <c r="F52" s="92">
        <v>1325389.5734935633</v>
      </c>
      <c r="G52" s="92"/>
      <c r="H52" s="92">
        <v>500000</v>
      </c>
    </row>
    <row r="53" spans="1:8" ht="15.75">
      <c r="A53" s="93"/>
      <c r="B53" s="93"/>
      <c r="C53" s="91">
        <f t="shared" si="1"/>
        <v>2030</v>
      </c>
      <c r="D53" s="92">
        <v>8154782.421122274</v>
      </c>
      <c r="E53" s="92">
        <v>6727695.497425877</v>
      </c>
      <c r="F53" s="92">
        <v>1427086.923696398</v>
      </c>
      <c r="G53" s="92"/>
      <c r="H53" s="92">
        <v>500000</v>
      </c>
    </row>
    <row r="54" spans="1:8" ht="15.75">
      <c r="A54" s="93"/>
      <c r="B54" s="93"/>
      <c r="C54" s="91">
        <f t="shared" si="1"/>
        <v>2031</v>
      </c>
      <c r="D54" s="92">
        <v>8739857.876698175</v>
      </c>
      <c r="E54" s="92">
        <v>7210382.748275995</v>
      </c>
      <c r="F54" s="92">
        <v>1529475.128422181</v>
      </c>
      <c r="G54" s="92"/>
      <c r="H54" s="92">
        <v>500000</v>
      </c>
    </row>
    <row r="55" spans="1:8" ht="15.75">
      <c r="A55" s="93"/>
      <c r="B55" s="93"/>
      <c r="C55" s="91">
        <f t="shared" si="1"/>
        <v>2032</v>
      </c>
      <c r="D55" s="92">
        <v>9328902.143206257</v>
      </c>
      <c r="E55" s="92">
        <v>7696344.268145163</v>
      </c>
      <c r="F55" s="92">
        <v>1632557.8750610952</v>
      </c>
      <c r="G55" s="92"/>
      <c r="H55" s="92"/>
    </row>
    <row r="56" spans="1:8" ht="15.75">
      <c r="A56" s="93"/>
      <c r="B56" s="93"/>
      <c r="C56" s="91">
        <f t="shared" si="1"/>
        <v>2033</v>
      </c>
      <c r="D56" s="92">
        <v>9921936.387270883</v>
      </c>
      <c r="E56" s="92">
        <v>8185597.519498478</v>
      </c>
      <c r="F56" s="92">
        <v>1736338.8677724043</v>
      </c>
      <c r="G56" s="92"/>
      <c r="H56" s="92"/>
    </row>
    <row r="57" spans="1:8" ht="15.75">
      <c r="A57" s="93"/>
      <c r="B57" s="93"/>
      <c r="C57" s="91">
        <f t="shared" si="1"/>
        <v>2034</v>
      </c>
      <c r="D57" s="92">
        <v>10518981.871867068</v>
      </c>
      <c r="E57" s="92">
        <v>8678160.044290332</v>
      </c>
      <c r="F57" s="92">
        <v>1840821.827576737</v>
      </c>
      <c r="G57" s="92"/>
      <c r="H57" s="92"/>
    </row>
    <row r="58" spans="1:8" ht="15.75">
      <c r="A58" s="93"/>
      <c r="B58" s="93"/>
      <c r="C58" s="91">
        <f t="shared" si="1"/>
        <v>2035</v>
      </c>
      <c r="D58" s="92">
        <v>11120059.956847819</v>
      </c>
      <c r="E58" s="92">
        <v>9174049.46439945</v>
      </c>
      <c r="F58" s="92">
        <v>1946010.4924483683</v>
      </c>
      <c r="G58" s="92"/>
      <c r="H58" s="92"/>
    </row>
    <row r="59" spans="1:8" ht="15.75">
      <c r="A59" s="93"/>
      <c r="B59" s="93"/>
      <c r="C59" s="91">
        <f t="shared" si="1"/>
        <v>2036</v>
      </c>
      <c r="D59" s="92">
        <v>11725192.099471472</v>
      </c>
      <c r="E59" s="92">
        <v>9673283.482063964</v>
      </c>
      <c r="F59" s="92">
        <v>2051908.6174075075</v>
      </c>
      <c r="G59" s="92"/>
      <c r="H59" s="92"/>
    </row>
    <row r="60" spans="1:8" ht="15.75">
      <c r="A60" s="93"/>
      <c r="B60" s="93"/>
      <c r="C60" s="91">
        <f t="shared" si="1"/>
        <v>2037</v>
      </c>
      <c r="D60" s="92">
        <v>12334399.854929194</v>
      </c>
      <c r="E60" s="92">
        <v>10175879.880316585</v>
      </c>
      <c r="F60" s="92">
        <v>2158519.974612609</v>
      </c>
      <c r="G60" s="92"/>
      <c r="H60" s="92"/>
    </row>
    <row r="61" spans="1:8" ht="15.75">
      <c r="A61" s="93"/>
      <c r="B61" s="93"/>
      <c r="C61" s="91">
        <f t="shared" si="1"/>
        <v>2038</v>
      </c>
      <c r="D61" s="92">
        <v>12947704.876872666</v>
      </c>
      <c r="E61" s="92">
        <v>10681856.52341995</v>
      </c>
      <c r="F61" s="94">
        <v>2265848.353452717</v>
      </c>
      <c r="G61" s="92"/>
      <c r="H61" s="92"/>
    </row>
    <row r="62" spans="1:8" ht="15.75">
      <c r="A62" s="93"/>
      <c r="B62" s="93"/>
      <c r="C62" s="91">
        <f t="shared" si="1"/>
        <v>2039</v>
      </c>
      <c r="D62" s="92">
        <v>13565128.917941963</v>
      </c>
      <c r="E62" s="92">
        <v>11191231.35730212</v>
      </c>
      <c r="F62" s="94">
        <v>2373897.560639844</v>
      </c>
      <c r="G62" s="92"/>
      <c r="H62" s="92"/>
    </row>
    <row r="63" spans="1:8" ht="12.75">
      <c r="A63" s="93"/>
      <c r="B63" s="93"/>
      <c r="C63" s="95"/>
      <c r="D63" s="95"/>
      <c r="E63" s="95"/>
      <c r="F63" s="93"/>
      <c r="G63" s="93"/>
      <c r="H63" s="93"/>
    </row>
    <row r="64" spans="1:8" ht="12.75">
      <c r="A64" s="93"/>
      <c r="B64" s="93"/>
      <c r="C64" s="96" t="s">
        <v>58</v>
      </c>
      <c r="D64" s="97">
        <f>SUM(D40:D62)</f>
        <v>162895123.56257328</v>
      </c>
      <c r="E64" s="97">
        <f>SUM(E40:E62)</f>
        <v>134388476.93912295</v>
      </c>
      <c r="F64" s="97">
        <f>SUM(F40:F62)</f>
        <v>28506646.62345032</v>
      </c>
      <c r="G64" s="97">
        <f>SUM(G40:G62)</f>
        <v>10081373.016516563</v>
      </c>
      <c r="H64" s="97">
        <f>SUM(H40:H62)</f>
        <v>10258513.40548784</v>
      </c>
    </row>
    <row r="65" spans="1:8" ht="12.75">
      <c r="A65" s="93"/>
      <c r="B65" s="93"/>
      <c r="C65" s="95"/>
      <c r="D65" s="93"/>
      <c r="E65" s="93"/>
      <c r="F65" s="93"/>
      <c r="G65" s="93"/>
      <c r="H65" s="93"/>
    </row>
    <row r="66" spans="1:8" ht="12.75">
      <c r="A66" s="93"/>
      <c r="B66" s="93"/>
      <c r="C66" s="95"/>
      <c r="D66" s="93"/>
      <c r="E66" s="93"/>
      <c r="F66" s="93"/>
      <c r="G66" s="93"/>
      <c r="H66" s="93"/>
    </row>
    <row r="67" spans="1:8" ht="12.75">
      <c r="A67" s="93"/>
      <c r="B67" s="93"/>
      <c r="C67" s="95"/>
      <c r="D67" s="93"/>
      <c r="E67" s="93"/>
      <c r="F67" s="93"/>
      <c r="G67" s="93"/>
      <c r="H67" s="93"/>
    </row>
    <row r="68" spans="1:8" ht="12.75">
      <c r="A68" s="93"/>
      <c r="B68" s="93"/>
      <c r="C68" s="95"/>
      <c r="D68" s="93"/>
      <c r="E68" s="93"/>
      <c r="F68" s="93"/>
      <c r="G68" s="93"/>
      <c r="H68" s="93"/>
    </row>
    <row r="69" spans="1:8" ht="12.75">
      <c r="A69" s="93"/>
      <c r="B69" s="93"/>
      <c r="C69" s="95"/>
      <c r="D69" s="93"/>
      <c r="E69" s="93"/>
      <c r="F69" s="93"/>
      <c r="G69" s="93"/>
      <c r="H69" s="93"/>
    </row>
    <row r="70" spans="1:8" ht="12.75">
      <c r="A70" s="93"/>
      <c r="B70" s="93"/>
      <c r="C70" s="95"/>
      <c r="D70" s="93"/>
      <c r="E70" s="93"/>
      <c r="F70" s="93"/>
      <c r="G70" s="93"/>
      <c r="H70" s="93"/>
    </row>
    <row r="71" spans="1:8" ht="12.75">
      <c r="A71" s="93"/>
      <c r="B71" s="93"/>
      <c r="C71" s="95"/>
      <c r="D71" s="93"/>
      <c r="E71" s="93"/>
      <c r="F71" s="93"/>
      <c r="G71" s="93"/>
      <c r="H71" s="93"/>
    </row>
    <row r="72" spans="1:8" ht="12.75">
      <c r="A72" s="93"/>
      <c r="B72" s="93"/>
      <c r="C72" s="95"/>
      <c r="D72" s="93"/>
      <c r="E72" s="93"/>
      <c r="F72" s="93"/>
      <c r="G72" s="93"/>
      <c r="H72" s="93"/>
    </row>
    <row r="73" spans="1:8" ht="12.75">
      <c r="A73" s="93"/>
      <c r="B73" s="93"/>
      <c r="C73" s="95"/>
      <c r="D73" s="93"/>
      <c r="E73" s="93"/>
      <c r="F73" s="93"/>
      <c r="G73" s="93"/>
      <c r="H73" s="93"/>
    </row>
    <row r="74" spans="1:8" ht="12.75">
      <c r="A74" s="93"/>
      <c r="B74" s="93"/>
      <c r="C74" s="95"/>
      <c r="D74" s="93"/>
      <c r="E74" s="93"/>
      <c r="F74" s="93"/>
      <c r="G74" s="93"/>
      <c r="H74" s="93"/>
    </row>
    <row r="75" spans="1:8" ht="12.75">
      <c r="A75" s="93"/>
      <c r="B75" s="93"/>
      <c r="C75" s="95"/>
      <c r="D75" s="93"/>
      <c r="E75" s="93"/>
      <c r="F75" s="93"/>
      <c r="G75" s="93"/>
      <c r="H75" s="93"/>
    </row>
    <row r="76" spans="1:8" ht="12.75">
      <c r="A76" s="93"/>
      <c r="B76" s="93"/>
      <c r="C76" s="95"/>
      <c r="D76" s="93"/>
      <c r="E76" s="93"/>
      <c r="F76" s="93"/>
      <c r="G76" s="93"/>
      <c r="H76" s="93"/>
    </row>
    <row r="77" spans="1:8" ht="12.75">
      <c r="A77" s="93"/>
      <c r="B77" s="93"/>
      <c r="C77" s="95"/>
      <c r="D77" s="93"/>
      <c r="E77" s="93"/>
      <c r="F77" s="93"/>
      <c r="G77" s="93"/>
      <c r="H77" s="93"/>
    </row>
    <row r="78" spans="1:8" ht="12.75">
      <c r="A78" s="93"/>
      <c r="B78" s="93"/>
      <c r="C78" s="95"/>
      <c r="D78" s="93"/>
      <c r="E78" s="93"/>
      <c r="F78" s="93"/>
      <c r="G78" s="93"/>
      <c r="H78" s="93"/>
    </row>
    <row r="79" spans="1:8" ht="12.75">
      <c r="A79" s="93"/>
      <c r="B79" s="93"/>
      <c r="C79" s="95"/>
      <c r="D79" s="93"/>
      <c r="E79" s="93"/>
      <c r="F79" s="93"/>
      <c r="G79" s="93"/>
      <c r="H79" s="93"/>
    </row>
    <row r="80" spans="1:8" ht="12.75">
      <c r="A80" s="93"/>
      <c r="B80" s="93"/>
      <c r="C80" s="95"/>
      <c r="D80" s="93"/>
      <c r="E80" s="93"/>
      <c r="F80" s="93"/>
      <c r="G80" s="93"/>
      <c r="H80" s="93"/>
    </row>
    <row r="81" spans="1:8" ht="12.75">
      <c r="A81" s="93"/>
      <c r="B81" s="93"/>
      <c r="C81" s="95"/>
      <c r="D81" s="93"/>
      <c r="E81" s="93"/>
      <c r="F81" s="93"/>
      <c r="G81" s="93"/>
      <c r="H81" s="93"/>
    </row>
    <row r="82" spans="1:8" ht="12.75">
      <c r="A82" s="93"/>
      <c r="B82" s="93"/>
      <c r="C82" s="95"/>
      <c r="D82" s="93"/>
      <c r="E82" s="93"/>
      <c r="F82" s="93"/>
      <c r="G82" s="93"/>
      <c r="H82" s="93"/>
    </row>
  </sheetData>
  <mergeCells count="9">
    <mergeCell ref="A34:H34"/>
    <mergeCell ref="A35:H35"/>
    <mergeCell ref="A36:H36"/>
    <mergeCell ref="A4:H4"/>
    <mergeCell ref="A26:D26"/>
    <mergeCell ref="A27:D27"/>
    <mergeCell ref="A31:H31"/>
    <mergeCell ref="A32:H32"/>
    <mergeCell ref="A33:H33"/>
  </mergeCells>
  <printOptions horizontalCentered="1"/>
  <pageMargins left="0.77" right="0.75" top="0.49" bottom="0.5"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8"/>
  <sheetViews>
    <sheetView workbookViewId="0" topLeftCell="C37">
      <selection activeCell="F70" sqref="F70"/>
    </sheetView>
  </sheetViews>
  <sheetFormatPr defaultColWidth="9.140625" defaultRowHeight="12.75"/>
  <cols>
    <col min="1" max="1" width="27.7109375" style="42" customWidth="1"/>
    <col min="2" max="2" width="28.57421875" style="42" bestFit="1" customWidth="1"/>
    <col min="3" max="3" width="21.421875" style="45" bestFit="1" customWidth="1"/>
    <col min="4" max="4" width="30.57421875" style="42" bestFit="1" customWidth="1"/>
    <col min="5" max="5" width="37.140625" style="42" bestFit="1" customWidth="1"/>
    <col min="6" max="6" width="28.00390625" style="42" bestFit="1" customWidth="1"/>
    <col min="7" max="7" width="18.00390625" style="42" customWidth="1"/>
    <col min="8" max="8" width="28.00390625" style="42" customWidth="1"/>
    <col min="9" max="9" width="12.7109375" style="45" bestFit="1" customWidth="1"/>
    <col min="10" max="10" width="16.28125" style="42" bestFit="1" customWidth="1"/>
    <col min="11" max="16384" width="9.140625" style="42" customWidth="1"/>
  </cols>
  <sheetData>
    <row r="1" ht="12.75">
      <c r="A1" s="47" t="s">
        <v>24</v>
      </c>
    </row>
    <row r="2" ht="12.75">
      <c r="A2" s="47" t="s">
        <v>31</v>
      </c>
    </row>
    <row r="4" ht="12.75">
      <c r="A4" s="42" t="s">
        <v>35</v>
      </c>
    </row>
    <row r="5" spans="1:2" ht="12.75">
      <c r="A5" s="50" t="s">
        <v>33</v>
      </c>
      <c r="B5" s="48">
        <f>J38</f>
        <v>15421601.261128956</v>
      </c>
    </row>
    <row r="6" spans="1:2" ht="12.75">
      <c r="A6" s="50" t="s">
        <v>34</v>
      </c>
      <c r="B6" s="48">
        <f>J68</f>
        <v>51203500.19637441</v>
      </c>
    </row>
    <row r="7" spans="1:2" ht="12.75">
      <c r="A7" s="50"/>
      <c r="B7" s="48"/>
    </row>
    <row r="8" spans="1:2" ht="12.75">
      <c r="A8" s="50" t="s">
        <v>37</v>
      </c>
      <c r="B8" s="48">
        <v>28603456</v>
      </c>
    </row>
    <row r="10" ht="12.75">
      <c r="A10" s="52" t="s">
        <v>41</v>
      </c>
    </row>
    <row r="11" spans="1:10" ht="12.75">
      <c r="A11" s="46" t="s">
        <v>28</v>
      </c>
      <c r="B11" s="46" t="s">
        <v>27</v>
      </c>
      <c r="C11" s="46" t="s">
        <v>22</v>
      </c>
      <c r="D11" s="47" t="s">
        <v>38</v>
      </c>
      <c r="E11" s="46" t="s">
        <v>40</v>
      </c>
      <c r="F11" s="46" t="s">
        <v>30</v>
      </c>
      <c r="G11" s="87">
        <v>0.75</v>
      </c>
      <c r="H11" s="87" t="s">
        <v>56</v>
      </c>
      <c r="I11" s="46" t="s">
        <v>36</v>
      </c>
      <c r="J11" s="47" t="s">
        <v>29</v>
      </c>
    </row>
    <row r="12" spans="1:10" ht="12.75">
      <c r="A12" s="41">
        <v>2015</v>
      </c>
      <c r="B12" s="43">
        <v>2384785407.58435</v>
      </c>
      <c r="C12" s="45" t="s">
        <v>23</v>
      </c>
      <c r="D12" s="48">
        <f>B12*0.35</f>
        <v>834674892.6545225</v>
      </c>
      <c r="E12" s="48">
        <f>D12*0.25</f>
        <v>208668723.16363063</v>
      </c>
      <c r="F12" s="48">
        <f>E12</f>
        <v>208668723.16363063</v>
      </c>
      <c r="G12" s="48">
        <f>F12*0.75</f>
        <v>156501542.37272298</v>
      </c>
      <c r="H12" s="48">
        <f>G12*0.2326</f>
        <v>36402258.75589537</v>
      </c>
      <c r="I12" s="51">
        <v>1</v>
      </c>
      <c r="J12" s="48">
        <f>(I12*H12)/1000</f>
        <v>36402.25875589537</v>
      </c>
    </row>
    <row r="13" spans="1:10" ht="12.75">
      <c r="A13" s="41">
        <v>2016</v>
      </c>
      <c r="B13" s="43">
        <v>2725220626.0589</v>
      </c>
      <c r="C13" s="45" t="s">
        <v>23</v>
      </c>
      <c r="D13" s="48">
        <f aca="true" t="shared" si="0" ref="D13:D36">B13*0.35</f>
        <v>953827219.1206149</v>
      </c>
      <c r="E13" s="48">
        <f>D13*0.25</f>
        <v>238456804.78015372</v>
      </c>
      <c r="F13" s="48">
        <f>E13+F12</f>
        <v>447125527.94378436</v>
      </c>
      <c r="G13" s="48">
        <f aca="true" t="shared" si="1" ref="G13:G36">F13*0.75</f>
        <v>335344145.9578383</v>
      </c>
      <c r="H13" s="48">
        <f aca="true" t="shared" si="2" ref="H13:H36">G13*0.2326</f>
        <v>78001048.34979318</v>
      </c>
      <c r="I13" s="51">
        <f>I12*0.99</f>
        <v>0.99</v>
      </c>
      <c r="J13" s="48">
        <f aca="true" t="shared" si="3" ref="J13:J36">(I13*H13)/1000</f>
        <v>77221.03786629524</v>
      </c>
    </row>
    <row r="14" spans="1:10" ht="12.75">
      <c r="A14" s="41">
        <v>2017</v>
      </c>
      <c r="B14" s="43">
        <v>2851579020.93285</v>
      </c>
      <c r="C14" s="45" t="s">
        <v>23</v>
      </c>
      <c r="D14" s="48">
        <f t="shared" si="0"/>
        <v>998052657.3264974</v>
      </c>
      <c r="E14" s="48">
        <f aca="true" t="shared" si="4" ref="E14:E36">D14*0.25</f>
        <v>249513164.33162436</v>
      </c>
      <c r="F14" s="48">
        <f aca="true" t="shared" si="5" ref="F14:F35">E14+F13</f>
        <v>696638692.2754087</v>
      </c>
      <c r="G14" s="48">
        <f t="shared" si="1"/>
        <v>522479019.20655656</v>
      </c>
      <c r="H14" s="48">
        <f t="shared" si="2"/>
        <v>121528619.86744505</v>
      </c>
      <c r="I14" s="51">
        <f aca="true" t="shared" si="6" ref="I14:I34">I13*0.99</f>
        <v>0.9801</v>
      </c>
      <c r="J14" s="48">
        <f t="shared" si="3"/>
        <v>119110.2003320829</v>
      </c>
    </row>
    <row r="15" spans="1:10" ht="12.75">
      <c r="A15" s="41">
        <v>2018</v>
      </c>
      <c r="B15" s="43">
        <v>2983244016.09375</v>
      </c>
      <c r="C15" s="45" t="s">
        <v>23</v>
      </c>
      <c r="D15" s="48">
        <f t="shared" si="0"/>
        <v>1044135405.6328124</v>
      </c>
      <c r="E15" s="48">
        <f t="shared" si="4"/>
        <v>261033851.4082031</v>
      </c>
      <c r="F15" s="48">
        <f t="shared" si="5"/>
        <v>957672543.6836119</v>
      </c>
      <c r="G15" s="48">
        <f t="shared" si="1"/>
        <v>718254407.7627089</v>
      </c>
      <c r="H15" s="48">
        <f t="shared" si="2"/>
        <v>167065975.2456061</v>
      </c>
      <c r="I15" s="51">
        <f t="shared" si="6"/>
        <v>0.9702989999999999</v>
      </c>
      <c r="J15" s="48">
        <f t="shared" si="3"/>
        <v>162103.94871483633</v>
      </c>
    </row>
    <row r="16" spans="1:10" ht="12.75">
      <c r="A16" s="41">
        <v>2019</v>
      </c>
      <c r="B16" s="43">
        <v>3122908750.41234</v>
      </c>
      <c r="C16" s="45" t="s">
        <v>23</v>
      </c>
      <c r="D16" s="48">
        <f t="shared" si="0"/>
        <v>1093018062.644319</v>
      </c>
      <c r="E16" s="48">
        <f t="shared" si="4"/>
        <v>273254515.66107976</v>
      </c>
      <c r="F16" s="48">
        <f t="shared" si="5"/>
        <v>1230927059.3446918</v>
      </c>
      <c r="G16" s="48">
        <f t="shared" si="1"/>
        <v>923195294.5085188</v>
      </c>
      <c r="H16" s="48">
        <f t="shared" si="2"/>
        <v>214735225.50268146</v>
      </c>
      <c r="I16" s="51">
        <f t="shared" si="6"/>
        <v>0.96059601</v>
      </c>
      <c r="J16" s="48">
        <f t="shared" si="3"/>
        <v>206273.80082432603</v>
      </c>
    </row>
    <row r="17" spans="1:10" ht="12.75">
      <c r="A17" s="41">
        <v>2020</v>
      </c>
      <c r="B17" s="43">
        <v>3308286428.84466</v>
      </c>
      <c r="C17" s="45" t="s">
        <v>23</v>
      </c>
      <c r="D17" s="48">
        <f t="shared" si="0"/>
        <v>1157900250.095631</v>
      </c>
      <c r="E17" s="48">
        <f t="shared" si="4"/>
        <v>289475062.5239077</v>
      </c>
      <c r="F17" s="48">
        <f t="shared" si="5"/>
        <v>1520402121.8685994</v>
      </c>
      <c r="G17" s="48">
        <f t="shared" si="1"/>
        <v>1140301591.4014497</v>
      </c>
      <c r="H17" s="48">
        <f t="shared" si="2"/>
        <v>265234150.1599772</v>
      </c>
      <c r="I17" s="51">
        <f t="shared" si="6"/>
        <v>0.9509900498999999</v>
      </c>
      <c r="J17" s="48">
        <f t="shared" si="3"/>
        <v>252235.0376958208</v>
      </c>
    </row>
    <row r="18" spans="1:10" ht="12.75">
      <c r="A18" s="41">
        <v>2021</v>
      </c>
      <c r="B18" s="43">
        <v>3462242005.83026</v>
      </c>
      <c r="C18" s="45" t="s">
        <v>23</v>
      </c>
      <c r="D18" s="48">
        <f t="shared" si="0"/>
        <v>1211784702.0405908</v>
      </c>
      <c r="E18" s="48">
        <f>D18*0.25</f>
        <v>302946175.5101477</v>
      </c>
      <c r="F18" s="48">
        <f t="shared" si="5"/>
        <v>1823348297.378747</v>
      </c>
      <c r="G18" s="48">
        <f t="shared" si="1"/>
        <v>1367511223.0340602</v>
      </c>
      <c r="H18" s="48">
        <f t="shared" si="2"/>
        <v>318083110.4777224</v>
      </c>
      <c r="I18" s="51">
        <f t="shared" si="6"/>
        <v>0.9414801494009999</v>
      </c>
      <c r="J18" s="48">
        <f t="shared" si="3"/>
        <v>299468.9343745009</v>
      </c>
    </row>
    <row r="19" spans="1:10" ht="12.75">
      <c r="A19" s="41">
        <v>2022</v>
      </c>
      <c r="B19" s="43">
        <v>3623992821.58805</v>
      </c>
      <c r="C19" s="45" t="s">
        <v>23</v>
      </c>
      <c r="D19" s="48">
        <f t="shared" si="0"/>
        <v>1268397487.5558174</v>
      </c>
      <c r="E19" s="48">
        <f t="shared" si="4"/>
        <v>317099371.88895434</v>
      </c>
      <c r="F19" s="48">
        <f t="shared" si="5"/>
        <v>2140447669.2677014</v>
      </c>
      <c r="G19" s="48">
        <f t="shared" si="1"/>
        <v>1605335751.950776</v>
      </c>
      <c r="H19" s="48">
        <f t="shared" si="2"/>
        <v>373401095.90375054</v>
      </c>
      <c r="I19" s="51">
        <f t="shared" si="6"/>
        <v>0.9320653479069899</v>
      </c>
      <c r="J19" s="48">
        <f t="shared" si="3"/>
        <v>348034.2223623806</v>
      </c>
    </row>
    <row r="20" spans="1:10" ht="12.75">
      <c r="A20" s="41">
        <v>2023</v>
      </c>
      <c r="B20" s="44">
        <f>B19*1.03</f>
        <v>3732712606.2356915</v>
      </c>
      <c r="C20" s="45" t="s">
        <v>26</v>
      </c>
      <c r="D20" s="48">
        <f t="shared" si="0"/>
        <v>1306449412.182492</v>
      </c>
      <c r="E20" s="48">
        <f t="shared" si="4"/>
        <v>326612353.045623</v>
      </c>
      <c r="F20" s="48">
        <f t="shared" si="5"/>
        <v>2467060022.3133245</v>
      </c>
      <c r="G20" s="48">
        <f t="shared" si="1"/>
        <v>1850295016.7349935</v>
      </c>
      <c r="H20" s="48">
        <f t="shared" si="2"/>
        <v>430378620.89255947</v>
      </c>
      <c r="I20" s="51">
        <f t="shared" si="6"/>
        <v>0.92274469442792</v>
      </c>
      <c r="J20" s="48">
        <f t="shared" si="3"/>
        <v>397129.58902381436</v>
      </c>
    </row>
    <row r="21" spans="1:10" ht="12.75">
      <c r="A21" s="41">
        <v>2024</v>
      </c>
      <c r="B21" s="44">
        <f aca="true" t="shared" si="7" ref="B21:B36">B20*1.03</f>
        <v>3844693984.4227624</v>
      </c>
      <c r="C21" s="45" t="s">
        <v>26</v>
      </c>
      <c r="D21" s="48">
        <f t="shared" si="0"/>
        <v>1345642894.5479667</v>
      </c>
      <c r="E21" s="48">
        <f t="shared" si="4"/>
        <v>336410723.6369917</v>
      </c>
      <c r="F21" s="48">
        <f t="shared" si="5"/>
        <v>2803470745.950316</v>
      </c>
      <c r="G21" s="48">
        <f t="shared" si="1"/>
        <v>2102603059.462737</v>
      </c>
      <c r="H21" s="48">
        <f t="shared" si="2"/>
        <v>489065471.63103265</v>
      </c>
      <c r="I21" s="51">
        <f t="shared" si="6"/>
        <v>0.9135172474836407</v>
      </c>
      <c r="J21" s="48">
        <f t="shared" si="3"/>
        <v>446769.74348366953</v>
      </c>
    </row>
    <row r="22" spans="1:10" ht="12.75">
      <c r="A22" s="41">
        <v>2025</v>
      </c>
      <c r="B22" s="44">
        <f t="shared" si="7"/>
        <v>3960034803.9554453</v>
      </c>
      <c r="C22" s="45" t="s">
        <v>26</v>
      </c>
      <c r="D22" s="48">
        <f t="shared" si="0"/>
        <v>1386012181.3844059</v>
      </c>
      <c r="E22" s="48">
        <f t="shared" si="4"/>
        <v>346503045.34610146</v>
      </c>
      <c r="F22" s="48">
        <f t="shared" si="5"/>
        <v>3149973791.296417</v>
      </c>
      <c r="G22" s="48">
        <f t="shared" si="1"/>
        <v>2362480343.472313</v>
      </c>
      <c r="H22" s="48">
        <f t="shared" si="2"/>
        <v>549512927.89166</v>
      </c>
      <c r="I22" s="51">
        <f t="shared" si="6"/>
        <v>0.9043820750088043</v>
      </c>
      <c r="J22" s="48">
        <f t="shared" si="3"/>
        <v>496969.6419708229</v>
      </c>
    </row>
    <row r="23" spans="1:10" ht="12.75">
      <c r="A23" s="41">
        <v>2026</v>
      </c>
      <c r="B23" s="44">
        <f t="shared" si="7"/>
        <v>4078835848.0741086</v>
      </c>
      <c r="C23" s="45" t="s">
        <v>26</v>
      </c>
      <c r="D23" s="48">
        <f t="shared" si="0"/>
        <v>1427592546.825938</v>
      </c>
      <c r="E23" s="48">
        <f t="shared" si="4"/>
        <v>356898136.7064845</v>
      </c>
      <c r="F23" s="48">
        <f t="shared" si="5"/>
        <v>3506871928.0029016</v>
      </c>
      <c r="G23" s="48">
        <f t="shared" si="1"/>
        <v>2630153946.0021763</v>
      </c>
      <c r="H23" s="48">
        <f t="shared" si="2"/>
        <v>611773807.8401062</v>
      </c>
      <c r="I23" s="51">
        <f t="shared" si="6"/>
        <v>0.8953382542587163</v>
      </c>
      <c r="J23" s="48">
        <f t="shared" si="3"/>
        <v>547744.493112768</v>
      </c>
    </row>
    <row r="24" spans="1:10" ht="12.75">
      <c r="A24" s="41">
        <v>2027</v>
      </c>
      <c r="B24" s="44">
        <f t="shared" si="7"/>
        <v>4201200923.516332</v>
      </c>
      <c r="C24" s="45" t="s">
        <v>26</v>
      </c>
      <c r="D24" s="48">
        <f t="shared" si="0"/>
        <v>1470420323.2307162</v>
      </c>
      <c r="E24" s="48">
        <f t="shared" si="4"/>
        <v>367605080.80767906</v>
      </c>
      <c r="F24" s="48">
        <f t="shared" si="5"/>
        <v>3874477008.8105807</v>
      </c>
      <c r="G24" s="48">
        <f t="shared" si="1"/>
        <v>2905857756.6079354</v>
      </c>
      <c r="H24" s="48">
        <f t="shared" si="2"/>
        <v>675902514.1870058</v>
      </c>
      <c r="I24" s="51">
        <f t="shared" si="6"/>
        <v>0.8863848717161291</v>
      </c>
      <c r="J24" s="48">
        <f t="shared" si="3"/>
        <v>599109.7633302582</v>
      </c>
    </row>
    <row r="25" spans="1:10" ht="12.75">
      <c r="A25" s="41">
        <v>2028</v>
      </c>
      <c r="B25" s="44">
        <f t="shared" si="7"/>
        <v>4327236951.221822</v>
      </c>
      <c r="C25" s="45" t="s">
        <v>26</v>
      </c>
      <c r="D25" s="48">
        <f t="shared" si="0"/>
        <v>1514532932.9276376</v>
      </c>
      <c r="E25" s="48">
        <f t="shared" si="4"/>
        <v>378633233.2319094</v>
      </c>
      <c r="F25" s="48">
        <f t="shared" si="5"/>
        <v>4253110242.04249</v>
      </c>
      <c r="G25" s="48">
        <f t="shared" si="1"/>
        <v>3189832681.5318675</v>
      </c>
      <c r="H25" s="48">
        <f t="shared" si="2"/>
        <v>741955081.7243124</v>
      </c>
      <c r="I25" s="51">
        <f t="shared" si="6"/>
        <v>0.8775210229989678</v>
      </c>
      <c r="J25" s="48">
        <f t="shared" si="3"/>
        <v>651081.1823340014</v>
      </c>
    </row>
    <row r="26" spans="1:10" ht="12.75">
      <c r="A26" s="41">
        <v>2029</v>
      </c>
      <c r="B26" s="44">
        <f t="shared" si="7"/>
        <v>4457054059.758476</v>
      </c>
      <c r="C26" s="45" t="s">
        <v>26</v>
      </c>
      <c r="D26" s="48">
        <f t="shared" si="0"/>
        <v>1559968920.9154665</v>
      </c>
      <c r="E26" s="48">
        <f t="shared" si="4"/>
        <v>389992230.22886664</v>
      </c>
      <c r="F26" s="48">
        <f t="shared" si="5"/>
        <v>4643102472.271357</v>
      </c>
      <c r="G26" s="48">
        <f t="shared" si="1"/>
        <v>3482326854.2035174</v>
      </c>
      <c r="H26" s="48">
        <f t="shared" si="2"/>
        <v>809989226.2877382</v>
      </c>
      <c r="I26" s="51">
        <f t="shared" si="6"/>
        <v>0.8687458127689781</v>
      </c>
      <c r="J26" s="48">
        <f t="shared" si="3"/>
        <v>703674.7487254569</v>
      </c>
    </row>
    <row r="27" spans="1:10" ht="12.75">
      <c r="A27" s="41">
        <v>2030</v>
      </c>
      <c r="B27" s="44">
        <f t="shared" si="7"/>
        <v>4590765681.55123</v>
      </c>
      <c r="C27" s="45" t="s">
        <v>26</v>
      </c>
      <c r="D27" s="48">
        <f t="shared" si="0"/>
        <v>1606767988.5429306</v>
      </c>
      <c r="E27" s="48">
        <f t="shared" si="4"/>
        <v>401691997.13573265</v>
      </c>
      <c r="F27" s="48">
        <f t="shared" si="5"/>
        <v>5044794469.407089</v>
      </c>
      <c r="G27" s="48">
        <f t="shared" si="1"/>
        <v>3783595852.055317</v>
      </c>
      <c r="H27" s="48">
        <f t="shared" si="2"/>
        <v>880064395.1880667</v>
      </c>
      <c r="I27" s="51">
        <f t="shared" si="6"/>
        <v>0.8600583546412883</v>
      </c>
      <c r="J27" s="48">
        <f t="shared" si="3"/>
        <v>756906.7357038292</v>
      </c>
    </row>
    <row r="28" spans="1:10" ht="12.75">
      <c r="A28" s="41">
        <v>2031</v>
      </c>
      <c r="B28" s="44">
        <f t="shared" si="7"/>
        <v>4728488651.997767</v>
      </c>
      <c r="C28" s="45" t="s">
        <v>26</v>
      </c>
      <c r="D28" s="48">
        <f t="shared" si="0"/>
        <v>1654971028.1992185</v>
      </c>
      <c r="E28" s="48">
        <f t="shared" si="4"/>
        <v>413742757.0498046</v>
      </c>
      <c r="F28" s="48">
        <f t="shared" si="5"/>
        <v>5458537226.456894</v>
      </c>
      <c r="G28" s="48">
        <f t="shared" si="1"/>
        <v>4093902919.8426704</v>
      </c>
      <c r="H28" s="48">
        <f t="shared" si="2"/>
        <v>952241819.1554052</v>
      </c>
      <c r="I28" s="51">
        <f t="shared" si="6"/>
        <v>0.8514577710948754</v>
      </c>
      <c r="J28" s="48">
        <f t="shared" si="3"/>
        <v>810793.6968813906</v>
      </c>
    </row>
    <row r="29" spans="1:10" ht="12.75">
      <c r="A29" s="41">
        <v>2032</v>
      </c>
      <c r="B29" s="44">
        <f t="shared" si="7"/>
        <v>4870343311.5577</v>
      </c>
      <c r="C29" s="45" t="s">
        <v>26</v>
      </c>
      <c r="D29" s="48">
        <f t="shared" si="0"/>
        <v>1704620159.0451949</v>
      </c>
      <c r="E29" s="48">
        <f>D29*0.25</f>
        <v>426155039.7612987</v>
      </c>
      <c r="F29" s="48">
        <f t="shared" si="5"/>
        <v>5884692266.218193</v>
      </c>
      <c r="G29" s="48">
        <f t="shared" si="1"/>
        <v>4413519199.663645</v>
      </c>
      <c r="H29" s="48">
        <f t="shared" si="2"/>
        <v>1026584565.8417637</v>
      </c>
      <c r="I29" s="51">
        <f t="shared" si="6"/>
        <v>0.8429431933839266</v>
      </c>
      <c r="J29" s="48">
        <f t="shared" si="3"/>
        <v>865352.4722093083</v>
      </c>
    </row>
    <row r="30" spans="1:10" ht="12.75">
      <c r="A30" s="41">
        <v>2033</v>
      </c>
      <c r="B30" s="44">
        <f t="shared" si="7"/>
        <v>5016453610.904431</v>
      </c>
      <c r="C30" s="45" t="s">
        <v>26</v>
      </c>
      <c r="D30" s="48">
        <f t="shared" si="0"/>
        <v>1755758763.816551</v>
      </c>
      <c r="E30" s="48">
        <f t="shared" si="4"/>
        <v>438939690.95413774</v>
      </c>
      <c r="F30" s="48">
        <f t="shared" si="5"/>
        <v>6323631957.172331</v>
      </c>
      <c r="G30" s="48">
        <f t="shared" si="1"/>
        <v>4742723967.879248</v>
      </c>
      <c r="H30" s="48">
        <f t="shared" si="2"/>
        <v>1103157594.928713</v>
      </c>
      <c r="I30" s="51">
        <f t="shared" si="6"/>
        <v>0.8345137614500874</v>
      </c>
      <c r="J30" s="48">
        <f t="shared" si="3"/>
        <v>920600.1940161922</v>
      </c>
    </row>
    <row r="31" spans="1:10" ht="12.75">
      <c r="A31" s="41">
        <v>2034</v>
      </c>
      <c r="B31" s="44">
        <f t="shared" si="7"/>
        <v>5166947219.2315645</v>
      </c>
      <c r="C31" s="45" t="s">
        <v>26</v>
      </c>
      <c r="D31" s="48">
        <f t="shared" si="0"/>
        <v>1808431526.7310474</v>
      </c>
      <c r="E31" s="48">
        <f t="shared" si="4"/>
        <v>452107881.68276185</v>
      </c>
      <c r="F31" s="48">
        <f t="shared" si="5"/>
        <v>6775739838.855093</v>
      </c>
      <c r="G31" s="48">
        <f t="shared" si="1"/>
        <v>5081804879.141319</v>
      </c>
      <c r="H31" s="48">
        <f t="shared" si="2"/>
        <v>1182027814.8882709</v>
      </c>
      <c r="I31" s="51">
        <f t="shared" si="6"/>
        <v>0.8261686238355865</v>
      </c>
      <c r="J31" s="48">
        <f t="shared" si="3"/>
        <v>976554.2931616281</v>
      </c>
    </row>
    <row r="32" spans="1:10" ht="12.75">
      <c r="A32" s="41">
        <v>2035</v>
      </c>
      <c r="B32" s="44">
        <f t="shared" si="7"/>
        <v>5321955635.808512</v>
      </c>
      <c r="C32" s="45" t="s">
        <v>26</v>
      </c>
      <c r="D32" s="48">
        <f t="shared" si="0"/>
        <v>1862684472.532979</v>
      </c>
      <c r="E32" s="48">
        <f t="shared" si="4"/>
        <v>465671118.13324475</v>
      </c>
      <c r="F32" s="48">
        <f t="shared" si="5"/>
        <v>7241410956.9883375</v>
      </c>
      <c r="G32" s="48">
        <f t="shared" si="1"/>
        <v>5431058217.741253</v>
      </c>
      <c r="H32" s="48">
        <f t="shared" si="2"/>
        <v>1263264141.4466155</v>
      </c>
      <c r="I32" s="51">
        <f t="shared" si="6"/>
        <v>0.8179069375972307</v>
      </c>
      <c r="J32" s="48">
        <f t="shared" si="3"/>
        <v>1033232.505306996</v>
      </c>
    </row>
    <row r="33" spans="1:10" ht="12.75">
      <c r="A33" s="41">
        <v>2036</v>
      </c>
      <c r="B33" s="44">
        <f t="shared" si="7"/>
        <v>5481614304.882768</v>
      </c>
      <c r="C33" s="45" t="s">
        <v>26</v>
      </c>
      <c r="D33" s="48">
        <f t="shared" si="0"/>
        <v>1918565006.7089686</v>
      </c>
      <c r="E33" s="48">
        <f t="shared" si="4"/>
        <v>479641251.67724216</v>
      </c>
      <c r="F33" s="48">
        <f>E33+F32</f>
        <v>7721052208.66558</v>
      </c>
      <c r="G33" s="48">
        <f t="shared" si="1"/>
        <v>5790789156.499185</v>
      </c>
      <c r="H33" s="48">
        <f t="shared" si="2"/>
        <v>1346937557.8017104</v>
      </c>
      <c r="I33" s="51">
        <f t="shared" si="6"/>
        <v>0.8097278682212583</v>
      </c>
      <c r="J33" s="48">
        <f t="shared" si="3"/>
        <v>1090652.8773059268</v>
      </c>
    </row>
    <row r="34" spans="1:10" ht="12.75">
      <c r="A34" s="41">
        <v>2037</v>
      </c>
      <c r="B34" s="44">
        <f t="shared" si="7"/>
        <v>5646062734.029251</v>
      </c>
      <c r="C34" s="45" t="s">
        <v>26</v>
      </c>
      <c r="D34" s="48">
        <f t="shared" si="0"/>
        <v>1976121956.9102378</v>
      </c>
      <c r="E34" s="48">
        <f t="shared" si="4"/>
        <v>494030489.22755945</v>
      </c>
      <c r="F34" s="48">
        <f t="shared" si="5"/>
        <v>8215082697.893139</v>
      </c>
      <c r="G34" s="48">
        <f t="shared" si="1"/>
        <v>6161312023.419854</v>
      </c>
      <c r="H34" s="48">
        <f t="shared" si="2"/>
        <v>1433121176.647458</v>
      </c>
      <c r="I34" s="51">
        <f t="shared" si="6"/>
        <v>0.8016305895390458</v>
      </c>
      <c r="J34" s="48">
        <f t="shared" si="3"/>
        <v>1148833.773716793</v>
      </c>
    </row>
    <row r="35" spans="1:10" ht="12.75">
      <c r="A35" s="41">
        <v>2038</v>
      </c>
      <c r="B35" s="44">
        <f t="shared" si="7"/>
        <v>5815444616.050129</v>
      </c>
      <c r="C35" s="45" t="s">
        <v>26</v>
      </c>
      <c r="D35" s="48">
        <f t="shared" si="0"/>
        <v>2035405615.617545</v>
      </c>
      <c r="E35" s="48">
        <f t="shared" si="4"/>
        <v>508851403.9043862</v>
      </c>
      <c r="F35" s="48">
        <f t="shared" si="5"/>
        <v>8723934101.797525</v>
      </c>
      <c r="G35" s="48">
        <f t="shared" si="1"/>
        <v>6542950576.348145</v>
      </c>
      <c r="H35" s="48">
        <f t="shared" si="2"/>
        <v>1521890304.0585785</v>
      </c>
      <c r="I35" s="51">
        <f>I34*0.99</f>
        <v>0.7936142836436553</v>
      </c>
      <c r="J35" s="48">
        <f t="shared" si="3"/>
        <v>1207793.8834396733</v>
      </c>
    </row>
    <row r="36" spans="1:10" ht="12.75">
      <c r="A36" s="41">
        <v>2039</v>
      </c>
      <c r="B36" s="44">
        <f t="shared" si="7"/>
        <v>5989907954.531633</v>
      </c>
      <c r="C36" s="45" t="s">
        <v>26</v>
      </c>
      <c r="D36" s="48">
        <f t="shared" si="0"/>
        <v>2096467784.0860715</v>
      </c>
      <c r="E36" s="48">
        <f t="shared" si="4"/>
        <v>524116946.0215179</v>
      </c>
      <c r="F36" s="48">
        <f>E36+F35</f>
        <v>9248051047.819044</v>
      </c>
      <c r="G36" s="48">
        <f t="shared" si="1"/>
        <v>6936038285.864283</v>
      </c>
      <c r="H36" s="48">
        <f t="shared" si="2"/>
        <v>1613322505.2920322</v>
      </c>
      <c r="I36" s="51">
        <f>I35*0.99</f>
        <v>0.7856781408072188</v>
      </c>
      <c r="J36" s="48">
        <f t="shared" si="3"/>
        <v>1267552.2264802882</v>
      </c>
    </row>
    <row r="37" ht="12.75">
      <c r="A37" s="41"/>
    </row>
    <row r="38" spans="9:10" ht="12.75">
      <c r="I38" s="47" t="s">
        <v>32</v>
      </c>
      <c r="J38" s="49">
        <f>SUM(J12:J36)</f>
        <v>15421601.261128956</v>
      </c>
    </row>
    <row r="40" ht="12.75">
      <c r="A40" s="52" t="s">
        <v>42</v>
      </c>
    </row>
    <row r="41" spans="1:10" ht="12.75">
      <c r="A41" s="46" t="s">
        <v>28</v>
      </c>
      <c r="B41" s="46" t="s">
        <v>27</v>
      </c>
      <c r="C41" s="46" t="s">
        <v>22</v>
      </c>
      <c r="D41" s="47" t="s">
        <v>39</v>
      </c>
      <c r="E41" s="46" t="s">
        <v>54</v>
      </c>
      <c r="F41" s="46" t="s">
        <v>30</v>
      </c>
      <c r="G41" s="87">
        <v>0.75</v>
      </c>
      <c r="H41" s="87" t="s">
        <v>56</v>
      </c>
      <c r="I41" s="46" t="s">
        <v>36</v>
      </c>
      <c r="J41" s="47" t="s">
        <v>29</v>
      </c>
    </row>
    <row r="42" spans="1:10" ht="12.75">
      <c r="A42" s="41">
        <v>2015</v>
      </c>
      <c r="B42" s="43">
        <v>2384785407.58435</v>
      </c>
      <c r="C42" s="45" t="s">
        <v>23</v>
      </c>
      <c r="D42" s="48">
        <f>B42*0.4</f>
        <v>953914163.03374</v>
      </c>
      <c r="E42" s="48">
        <f>D42*0.5</f>
        <v>476957081.51687</v>
      </c>
      <c r="F42" s="48">
        <f>E42</f>
        <v>476957081.51687</v>
      </c>
      <c r="G42" s="48">
        <f>F42*0.75</f>
        <v>357717811.1376525</v>
      </c>
      <c r="H42" s="48">
        <f>G42*0.2326</f>
        <v>83205162.87061797</v>
      </c>
      <c r="I42" s="51">
        <v>1</v>
      </c>
      <c r="J42" s="48">
        <f>H42*I42/1000</f>
        <v>83205.16287061798</v>
      </c>
    </row>
    <row r="43" spans="1:10" ht="12.75">
      <c r="A43" s="41">
        <v>2016</v>
      </c>
      <c r="B43" s="43">
        <v>2725220626.0589</v>
      </c>
      <c r="C43" s="45" t="s">
        <v>23</v>
      </c>
      <c r="D43" s="48">
        <f>B43*0.4</f>
        <v>1090088250.42356</v>
      </c>
      <c r="E43" s="48">
        <f aca="true" t="shared" si="8" ref="E43:E66">D43*0.5</f>
        <v>545044125.21178</v>
      </c>
      <c r="F43" s="48">
        <f>E43+F42</f>
        <v>1022001206.72865</v>
      </c>
      <c r="G43" s="48">
        <f aca="true" t="shared" si="9" ref="G43:G66">F43*0.75</f>
        <v>766500905.0464875</v>
      </c>
      <c r="H43" s="48">
        <f aca="true" t="shared" si="10" ref="H43:H66">G43*0.2326</f>
        <v>178288110.513813</v>
      </c>
      <c r="I43" s="51">
        <f>I42*1.01</f>
        <v>1.01</v>
      </c>
      <c r="J43" s="48">
        <f aca="true" t="shared" si="11" ref="J43:J66">H43*I43/1000</f>
        <v>180070.9916189511</v>
      </c>
    </row>
    <row r="44" spans="1:10" ht="12.75">
      <c r="A44" s="41">
        <v>2017</v>
      </c>
      <c r="B44" s="43">
        <v>2851579020.93285</v>
      </c>
      <c r="C44" s="45" t="s">
        <v>23</v>
      </c>
      <c r="D44" s="48">
        <f aca="true" t="shared" si="12" ref="D44:D66">B44*0.4</f>
        <v>1140631608.37314</v>
      </c>
      <c r="E44" s="48">
        <f t="shared" si="8"/>
        <v>570315804.18657</v>
      </c>
      <c r="F44" s="48">
        <f aca="true" t="shared" si="13" ref="F44:F66">E44+F43</f>
        <v>1592317010.91522</v>
      </c>
      <c r="G44" s="48">
        <f t="shared" si="9"/>
        <v>1194237758.186415</v>
      </c>
      <c r="H44" s="48">
        <f t="shared" si="10"/>
        <v>277779702.5541601</v>
      </c>
      <c r="I44" s="51">
        <f>I43*1.01</f>
        <v>1.0201</v>
      </c>
      <c r="J44" s="48">
        <f t="shared" si="11"/>
        <v>283363.07457549876</v>
      </c>
    </row>
    <row r="45" spans="1:10" ht="12.75">
      <c r="A45" s="41">
        <v>2018</v>
      </c>
      <c r="B45" s="43">
        <v>2983244016.09375</v>
      </c>
      <c r="C45" s="45" t="s">
        <v>23</v>
      </c>
      <c r="D45" s="48">
        <f t="shared" si="12"/>
        <v>1193297606.4375</v>
      </c>
      <c r="E45" s="48">
        <f t="shared" si="8"/>
        <v>596648803.21875</v>
      </c>
      <c r="F45" s="48">
        <f t="shared" si="13"/>
        <v>2188965814.1339703</v>
      </c>
      <c r="G45" s="48">
        <f t="shared" si="9"/>
        <v>1641724360.6004777</v>
      </c>
      <c r="H45" s="48">
        <f t="shared" si="10"/>
        <v>381865086.2756711</v>
      </c>
      <c r="I45" s="51">
        <f aca="true" t="shared" si="14" ref="I45:I66">I44*1.01</f>
        <v>1.030301</v>
      </c>
      <c r="J45" s="48">
        <f t="shared" si="11"/>
        <v>393435.98025491025</v>
      </c>
    </row>
    <row r="46" spans="1:10" ht="12.75">
      <c r="A46" s="41">
        <v>2019</v>
      </c>
      <c r="B46" s="43">
        <v>3122908750.41234</v>
      </c>
      <c r="C46" s="45" t="s">
        <v>23</v>
      </c>
      <c r="D46" s="48">
        <f t="shared" si="12"/>
        <v>1249163500.164936</v>
      </c>
      <c r="E46" s="48">
        <f t="shared" si="8"/>
        <v>624581750.082468</v>
      </c>
      <c r="F46" s="48">
        <f t="shared" si="13"/>
        <v>2813547564.2164383</v>
      </c>
      <c r="G46" s="48">
        <f t="shared" si="9"/>
        <v>2110160673.1623287</v>
      </c>
      <c r="H46" s="48">
        <f t="shared" si="10"/>
        <v>490823372.5775577</v>
      </c>
      <c r="I46" s="51">
        <f t="shared" si="14"/>
        <v>1.04060401</v>
      </c>
      <c r="J46" s="48">
        <f t="shared" si="11"/>
        <v>510752.7697059306</v>
      </c>
    </row>
    <row r="47" spans="1:10" ht="12.75">
      <c r="A47" s="41">
        <v>2020</v>
      </c>
      <c r="B47" s="43">
        <v>3308286428.84466</v>
      </c>
      <c r="C47" s="45" t="s">
        <v>23</v>
      </c>
      <c r="D47" s="48">
        <f t="shared" si="12"/>
        <v>1323314571.537864</v>
      </c>
      <c r="E47" s="48">
        <f t="shared" si="8"/>
        <v>661657285.768932</v>
      </c>
      <c r="F47" s="48">
        <f t="shared" si="13"/>
        <v>3475204849.98537</v>
      </c>
      <c r="G47" s="48">
        <f t="shared" si="9"/>
        <v>2606403637.4890275</v>
      </c>
      <c r="H47" s="48">
        <f t="shared" si="10"/>
        <v>606249486.0799478</v>
      </c>
      <c r="I47" s="51">
        <f t="shared" si="14"/>
        <v>1.0510100501</v>
      </c>
      <c r="J47" s="48">
        <f t="shared" si="11"/>
        <v>637174.3027379852</v>
      </c>
    </row>
    <row r="48" spans="1:10" ht="12.75">
      <c r="A48" s="41">
        <v>2021</v>
      </c>
      <c r="B48" s="43">
        <v>3462242005.83026</v>
      </c>
      <c r="C48" s="45" t="s">
        <v>23</v>
      </c>
      <c r="D48" s="48">
        <f t="shared" si="12"/>
        <v>1384896802.332104</v>
      </c>
      <c r="E48" s="48">
        <f t="shared" si="8"/>
        <v>692448401.166052</v>
      </c>
      <c r="F48" s="48">
        <f t="shared" si="13"/>
        <v>4167653251.151422</v>
      </c>
      <c r="G48" s="48">
        <f t="shared" si="9"/>
        <v>3125739938.3635664</v>
      </c>
      <c r="H48" s="48">
        <f t="shared" si="10"/>
        <v>727047109.6633656</v>
      </c>
      <c r="I48" s="51">
        <f t="shared" si="14"/>
        <v>1.061520150601</v>
      </c>
      <c r="J48" s="48">
        <f t="shared" si="11"/>
        <v>771775.1573438776</v>
      </c>
    </row>
    <row r="49" spans="1:10" ht="12.75">
      <c r="A49" s="41">
        <v>2022</v>
      </c>
      <c r="B49" s="43">
        <v>3623992821.58805</v>
      </c>
      <c r="C49" s="45" t="s">
        <v>23</v>
      </c>
      <c r="D49" s="48">
        <f t="shared" si="12"/>
        <v>1449597128.63522</v>
      </c>
      <c r="E49" s="48">
        <f t="shared" si="8"/>
        <v>724798564.31761</v>
      </c>
      <c r="F49" s="48">
        <f t="shared" si="13"/>
        <v>4892451815.469032</v>
      </c>
      <c r="G49" s="48">
        <f t="shared" si="9"/>
        <v>3669338861.601774</v>
      </c>
      <c r="H49" s="48">
        <f t="shared" si="10"/>
        <v>853488219.2085727</v>
      </c>
      <c r="I49" s="51">
        <f t="shared" si="14"/>
        <v>1.0721353521070098</v>
      </c>
      <c r="J49" s="48">
        <f t="shared" si="11"/>
        <v>915054.8924203679</v>
      </c>
    </row>
    <row r="50" spans="1:10" ht="12.75">
      <c r="A50" s="41">
        <v>2023</v>
      </c>
      <c r="B50" s="44">
        <f>B49*1.045</f>
        <v>3787072498.5595117</v>
      </c>
      <c r="C50" s="45" t="s">
        <v>25</v>
      </c>
      <c r="D50" s="48">
        <f t="shared" si="12"/>
        <v>1514828999.4238048</v>
      </c>
      <c r="E50" s="48">
        <f t="shared" si="8"/>
        <v>757414499.7119024</v>
      </c>
      <c r="F50" s="48">
        <f t="shared" si="13"/>
        <v>5649866315.180935</v>
      </c>
      <c r="G50" s="48">
        <f t="shared" si="9"/>
        <v>4237399736.385701</v>
      </c>
      <c r="H50" s="48">
        <f t="shared" si="10"/>
        <v>985619178.6833141</v>
      </c>
      <c r="I50" s="51">
        <f t="shared" si="14"/>
        <v>1.08285670562808</v>
      </c>
      <c r="J50" s="48">
        <f t="shared" si="11"/>
        <v>1067284.3368328675</v>
      </c>
    </row>
    <row r="51" spans="1:10" ht="12.75">
      <c r="A51" s="41">
        <v>2024</v>
      </c>
      <c r="B51" s="44">
        <f aca="true" t="shared" si="15" ref="B51:B53">B50*1.045</f>
        <v>3957490760.9946895</v>
      </c>
      <c r="C51" s="45" t="s">
        <v>25</v>
      </c>
      <c r="D51" s="48">
        <f t="shared" si="12"/>
        <v>1582996304.3978758</v>
      </c>
      <c r="E51" s="48">
        <f t="shared" si="8"/>
        <v>791498152.1989379</v>
      </c>
      <c r="F51" s="48">
        <f t="shared" si="13"/>
        <v>6441364467.379873</v>
      </c>
      <c r="G51" s="48">
        <f t="shared" si="9"/>
        <v>4831023350.5349045</v>
      </c>
      <c r="H51" s="48">
        <f t="shared" si="10"/>
        <v>1123696031.3344188</v>
      </c>
      <c r="I51" s="51">
        <f t="shared" si="14"/>
        <v>1.0936852726843609</v>
      </c>
      <c r="J51" s="48">
        <f t="shared" si="11"/>
        <v>1228969.8004443177</v>
      </c>
    </row>
    <row r="52" spans="1:10" ht="12.75">
      <c r="A52" s="41">
        <v>2025</v>
      </c>
      <c r="B52" s="44">
        <f t="shared" si="15"/>
        <v>4135577845.23945</v>
      </c>
      <c r="C52" s="45" t="s">
        <v>25</v>
      </c>
      <c r="D52" s="48">
        <f>B52*0.4</f>
        <v>1654231138.0957801</v>
      </c>
      <c r="E52" s="48">
        <f t="shared" si="8"/>
        <v>827115569.0478901</v>
      </c>
      <c r="F52" s="48">
        <f t="shared" si="13"/>
        <v>7268480036.427763</v>
      </c>
      <c r="G52" s="48">
        <f t="shared" si="9"/>
        <v>5451360027.320822</v>
      </c>
      <c r="H52" s="48">
        <f t="shared" si="10"/>
        <v>1267986342.354823</v>
      </c>
      <c r="I52" s="51">
        <f t="shared" si="14"/>
        <v>1.1046221254112045</v>
      </c>
      <c r="J52" s="48">
        <f t="shared" si="11"/>
        <v>1400645.768484364</v>
      </c>
    </row>
    <row r="53" spans="1:10" ht="12.75">
      <c r="A53" s="41">
        <v>2026</v>
      </c>
      <c r="B53" s="44">
        <f t="shared" si="15"/>
        <v>4321678848.275225</v>
      </c>
      <c r="C53" s="45" t="s">
        <v>25</v>
      </c>
      <c r="D53" s="48">
        <f t="shared" si="12"/>
        <v>1728671539.31009</v>
      </c>
      <c r="E53" s="48">
        <f t="shared" si="8"/>
        <v>864335769.655045</v>
      </c>
      <c r="F53" s="48">
        <f t="shared" si="13"/>
        <v>8132815806.082808</v>
      </c>
      <c r="G53" s="48">
        <f t="shared" si="9"/>
        <v>6099611854.562105</v>
      </c>
      <c r="H53" s="48">
        <f t="shared" si="10"/>
        <v>1418769717.3711457</v>
      </c>
      <c r="I53" s="51">
        <f t="shared" si="14"/>
        <v>1.1156683466653166</v>
      </c>
      <c r="J53" s="48">
        <f t="shared" si="11"/>
        <v>1582876.4648782846</v>
      </c>
    </row>
    <row r="54" spans="1:10" ht="12.75">
      <c r="A54" s="41">
        <v>2027</v>
      </c>
      <c r="B54" s="44">
        <f>B53*1.045</f>
        <v>4516154396.44761</v>
      </c>
      <c r="C54" s="45" t="s">
        <v>25</v>
      </c>
      <c r="D54" s="48">
        <f t="shared" si="12"/>
        <v>1806461758.579044</v>
      </c>
      <c r="E54" s="48">
        <f t="shared" si="8"/>
        <v>903230879.289522</v>
      </c>
      <c r="F54" s="48">
        <f t="shared" si="13"/>
        <v>9036046685.37233</v>
      </c>
      <c r="G54" s="48">
        <f t="shared" si="9"/>
        <v>6777035014.029247</v>
      </c>
      <c r="H54" s="48">
        <f t="shared" si="10"/>
        <v>1576338344.263203</v>
      </c>
      <c r="I54" s="51">
        <f t="shared" si="14"/>
        <v>1.1268250301319698</v>
      </c>
      <c r="J54" s="48">
        <f t="shared" si="11"/>
        <v>1776257.502272563</v>
      </c>
    </row>
    <row r="55" spans="1:10" ht="12.75">
      <c r="A55" s="41">
        <v>2028</v>
      </c>
      <c r="B55" s="44">
        <f>B54*1.045</f>
        <v>4719381344.287752</v>
      </c>
      <c r="C55" s="45" t="s">
        <v>25</v>
      </c>
      <c r="D55" s="48">
        <f t="shared" si="12"/>
        <v>1887752537.715101</v>
      </c>
      <c r="E55" s="48">
        <f t="shared" si="8"/>
        <v>943876268.8575505</v>
      </c>
      <c r="F55" s="48">
        <f t="shared" si="13"/>
        <v>9979922954.22988</v>
      </c>
      <c r="G55" s="48">
        <f t="shared" si="9"/>
        <v>7484942215.672409</v>
      </c>
      <c r="H55" s="48">
        <f t="shared" si="10"/>
        <v>1740997559.3654025</v>
      </c>
      <c r="I55" s="51">
        <f t="shared" si="14"/>
        <v>1.1380932804332895</v>
      </c>
      <c r="J55" s="48">
        <f t="shared" si="11"/>
        <v>1981417.6235645215</v>
      </c>
    </row>
    <row r="56" spans="1:10" ht="12.75">
      <c r="A56" s="41">
        <v>2029</v>
      </c>
      <c r="B56" s="44">
        <f aca="true" t="shared" si="16" ref="B56:B66">B55*1.03</f>
        <v>4860962784.6163845</v>
      </c>
      <c r="C56" s="45" t="s">
        <v>26</v>
      </c>
      <c r="D56" s="48">
        <f t="shared" si="12"/>
        <v>1944385113.8465538</v>
      </c>
      <c r="E56" s="48">
        <f t="shared" si="8"/>
        <v>972192556.9232769</v>
      </c>
      <c r="F56" s="48">
        <f t="shared" si="13"/>
        <v>10952115511.153156</v>
      </c>
      <c r="G56" s="48">
        <f t="shared" si="9"/>
        <v>8214086633.364867</v>
      </c>
      <c r="H56" s="48">
        <f t="shared" si="10"/>
        <v>1910596550.9206681</v>
      </c>
      <c r="I56" s="51">
        <f t="shared" si="14"/>
        <v>1.1494742132376223</v>
      </c>
      <c r="J56" s="48">
        <f t="shared" si="11"/>
        <v>2196181.4671840495</v>
      </c>
    </row>
    <row r="57" spans="1:10" ht="12.75">
      <c r="A57" s="41">
        <v>2030</v>
      </c>
      <c r="B57" s="44">
        <f t="shared" si="16"/>
        <v>5006791668.154876</v>
      </c>
      <c r="C57" s="45" t="s">
        <v>26</v>
      </c>
      <c r="D57" s="48">
        <f t="shared" si="12"/>
        <v>2002716667.2619505</v>
      </c>
      <c r="E57" s="48">
        <f t="shared" si="8"/>
        <v>1001358333.6309752</v>
      </c>
      <c r="F57" s="48">
        <f t="shared" si="13"/>
        <v>11953473844.784132</v>
      </c>
      <c r="G57" s="48">
        <f t="shared" si="9"/>
        <v>8965105383.588099</v>
      </c>
      <c r="H57" s="48">
        <f t="shared" si="10"/>
        <v>2085283512.2225916</v>
      </c>
      <c r="I57" s="51">
        <f t="shared" si="14"/>
        <v>1.1609689553699987</v>
      </c>
      <c r="J57" s="48">
        <f t="shared" si="11"/>
        <v>2420949.4208353437</v>
      </c>
    </row>
    <row r="58" spans="1:10" ht="12.75">
      <c r="A58" s="41">
        <v>2031</v>
      </c>
      <c r="B58" s="44">
        <f t="shared" si="16"/>
        <v>5156995418.199522</v>
      </c>
      <c r="C58" s="45" t="s">
        <v>26</v>
      </c>
      <c r="D58" s="48">
        <f t="shared" si="12"/>
        <v>2062798167.279809</v>
      </c>
      <c r="E58" s="48">
        <f t="shared" si="8"/>
        <v>1031399083.6399045</v>
      </c>
      <c r="F58" s="48">
        <f t="shared" si="13"/>
        <v>12984872928.424036</v>
      </c>
      <c r="G58" s="48">
        <f t="shared" si="9"/>
        <v>9738654696.318027</v>
      </c>
      <c r="H58" s="48">
        <f t="shared" si="10"/>
        <v>2265211082.363573</v>
      </c>
      <c r="I58" s="51">
        <f t="shared" si="14"/>
        <v>1.1725786449236986</v>
      </c>
      <c r="J58" s="48">
        <f t="shared" si="11"/>
        <v>2656138.141424023</v>
      </c>
    </row>
    <row r="59" spans="1:10" ht="12.75">
      <c r="A59" s="41">
        <v>2032</v>
      </c>
      <c r="B59" s="44">
        <f t="shared" si="16"/>
        <v>5311705280.745508</v>
      </c>
      <c r="C59" s="45" t="s">
        <v>26</v>
      </c>
      <c r="D59" s="48">
        <f t="shared" si="12"/>
        <v>2124682112.2982035</v>
      </c>
      <c r="E59" s="48">
        <f t="shared" si="8"/>
        <v>1062341056.1491017</v>
      </c>
      <c r="F59" s="48">
        <f t="shared" si="13"/>
        <v>14047213984.573137</v>
      </c>
      <c r="G59" s="48">
        <f t="shared" si="9"/>
        <v>10535410488.429853</v>
      </c>
      <c r="H59" s="48">
        <f t="shared" si="10"/>
        <v>2450536479.6087837</v>
      </c>
      <c r="I59" s="51">
        <f t="shared" si="14"/>
        <v>1.1843044313729356</v>
      </c>
      <c r="J59" s="48">
        <f t="shared" si="11"/>
        <v>2902181.212041716</v>
      </c>
    </row>
    <row r="60" spans="1:10" ht="12.75">
      <c r="A60" s="41">
        <v>2033</v>
      </c>
      <c r="B60" s="44">
        <f t="shared" si="16"/>
        <v>5471056439.167873</v>
      </c>
      <c r="C60" s="45" t="s">
        <v>26</v>
      </c>
      <c r="D60" s="48">
        <f t="shared" si="12"/>
        <v>2188422575.6671495</v>
      </c>
      <c r="E60" s="48">
        <f t="shared" si="8"/>
        <v>1094211287.8335748</v>
      </c>
      <c r="F60" s="48">
        <f t="shared" si="13"/>
        <v>15141425272.406712</v>
      </c>
      <c r="G60" s="48">
        <f t="shared" si="9"/>
        <v>11356068954.305035</v>
      </c>
      <c r="H60" s="48">
        <f t="shared" si="10"/>
        <v>2641421638.771351</v>
      </c>
      <c r="I60" s="51">
        <f t="shared" si="14"/>
        <v>1.196147475686665</v>
      </c>
      <c r="J60" s="48">
        <f t="shared" si="11"/>
        <v>3159529.8254404855</v>
      </c>
    </row>
    <row r="61" spans="1:10" ht="12.75">
      <c r="A61" s="41">
        <v>2034</v>
      </c>
      <c r="B61" s="44">
        <f t="shared" si="16"/>
        <v>5635188132.34291</v>
      </c>
      <c r="C61" s="45" t="s">
        <v>26</v>
      </c>
      <c r="D61" s="48">
        <f t="shared" si="12"/>
        <v>2254075252.937164</v>
      </c>
      <c r="E61" s="48">
        <f t="shared" si="8"/>
        <v>1127037626.468582</v>
      </c>
      <c r="F61" s="48">
        <f t="shared" si="13"/>
        <v>16268462898.875294</v>
      </c>
      <c r="G61" s="48">
        <f t="shared" si="9"/>
        <v>12201347174.156471</v>
      </c>
      <c r="H61" s="48">
        <f t="shared" si="10"/>
        <v>2838033352.708795</v>
      </c>
      <c r="I61" s="51">
        <f t="shared" si="14"/>
        <v>1.2081089504435316</v>
      </c>
      <c r="J61" s="48">
        <f t="shared" si="11"/>
        <v>3428653.4950647596</v>
      </c>
    </row>
    <row r="62" spans="1:10" ht="12.75">
      <c r="A62" s="41">
        <v>2035</v>
      </c>
      <c r="B62" s="44">
        <f t="shared" si="16"/>
        <v>5804243776.313197</v>
      </c>
      <c r="C62" s="45" t="s">
        <v>26</v>
      </c>
      <c r="D62" s="48">
        <f t="shared" si="12"/>
        <v>2321697510.525279</v>
      </c>
      <c r="E62" s="48">
        <f t="shared" si="8"/>
        <v>1160848755.2626395</v>
      </c>
      <c r="F62" s="48">
        <f t="shared" si="13"/>
        <v>17429311654.13793</v>
      </c>
      <c r="G62" s="48">
        <f t="shared" si="9"/>
        <v>13071983740.603449</v>
      </c>
      <c r="H62" s="48">
        <f t="shared" si="10"/>
        <v>3040543418.064362</v>
      </c>
      <c r="I62" s="51">
        <f t="shared" si="14"/>
        <v>1.220190039947967</v>
      </c>
      <c r="J62" s="48">
        <f t="shared" si="11"/>
        <v>3710040.794751482</v>
      </c>
    </row>
    <row r="63" spans="1:10" ht="12.75">
      <c r="A63" s="41">
        <v>2036</v>
      </c>
      <c r="B63" s="44">
        <f t="shared" si="16"/>
        <v>5978371089.602593</v>
      </c>
      <c r="C63" s="45" t="s">
        <v>26</v>
      </c>
      <c r="D63" s="48">
        <f t="shared" si="12"/>
        <v>2391348435.8410373</v>
      </c>
      <c r="E63" s="48">
        <f t="shared" si="8"/>
        <v>1195674217.9205186</v>
      </c>
      <c r="F63" s="48">
        <f t="shared" si="13"/>
        <v>18624985872.05845</v>
      </c>
      <c r="G63" s="48">
        <f t="shared" si="9"/>
        <v>13968739404.043837</v>
      </c>
      <c r="H63" s="48">
        <f t="shared" si="10"/>
        <v>3249128785.3805966</v>
      </c>
      <c r="I63" s="51">
        <f t="shared" si="14"/>
        <v>1.2323919403474468</v>
      </c>
      <c r="J63" s="48">
        <f t="shared" si="11"/>
        <v>4004200.128253937</v>
      </c>
    </row>
    <row r="64" spans="1:10" ht="12.75">
      <c r="A64" s="41">
        <v>2037</v>
      </c>
      <c r="B64" s="44">
        <f t="shared" si="16"/>
        <v>6157722222.290671</v>
      </c>
      <c r="C64" s="45" t="s">
        <v>26</v>
      </c>
      <c r="D64" s="48">
        <f t="shared" si="12"/>
        <v>2463088888.916269</v>
      </c>
      <c r="E64" s="48">
        <f t="shared" si="8"/>
        <v>1231544444.4581344</v>
      </c>
      <c r="F64" s="48">
        <f>E64+F63</f>
        <v>19856530316.516582</v>
      </c>
      <c r="G64" s="48">
        <f t="shared" si="9"/>
        <v>14892397737.387436</v>
      </c>
      <c r="H64" s="48">
        <f t="shared" si="10"/>
        <v>3463971713.7163177</v>
      </c>
      <c r="I64" s="51">
        <f t="shared" si="14"/>
        <v>1.2447158597509214</v>
      </c>
      <c r="J64" s="48">
        <f t="shared" si="11"/>
        <v>4311660.529791279</v>
      </c>
    </row>
    <row r="65" spans="1:10" ht="12.75">
      <c r="A65" s="41">
        <v>2038</v>
      </c>
      <c r="B65" s="44">
        <f t="shared" si="16"/>
        <v>6342453888.959392</v>
      </c>
      <c r="C65" s="45" t="s">
        <v>26</v>
      </c>
      <c r="D65" s="48">
        <f t="shared" si="12"/>
        <v>2536981555.583757</v>
      </c>
      <c r="E65" s="48">
        <f t="shared" si="8"/>
        <v>1268490777.7918785</v>
      </c>
      <c r="F65" s="48">
        <f t="shared" si="13"/>
        <v>21125021094.30846</v>
      </c>
      <c r="G65" s="48">
        <f t="shared" si="9"/>
        <v>15843765820.731346</v>
      </c>
      <c r="H65" s="48">
        <f t="shared" si="10"/>
        <v>3685259929.902111</v>
      </c>
      <c r="I65" s="51">
        <f t="shared" si="14"/>
        <v>1.2571630183484306</v>
      </c>
      <c r="J65" s="48">
        <f t="shared" si="11"/>
        <v>4632972.4968742635</v>
      </c>
    </row>
    <row r="66" spans="1:10" ht="12.75">
      <c r="A66" s="41">
        <v>2039</v>
      </c>
      <c r="B66" s="44">
        <f t="shared" si="16"/>
        <v>6532727505.628174</v>
      </c>
      <c r="C66" s="45" t="s">
        <v>26</v>
      </c>
      <c r="D66" s="48">
        <f t="shared" si="12"/>
        <v>2613091002.25127</v>
      </c>
      <c r="E66" s="48">
        <f t="shared" si="8"/>
        <v>1306545501.125635</v>
      </c>
      <c r="F66" s="48">
        <f t="shared" si="13"/>
        <v>22431566595.434093</v>
      </c>
      <c r="G66" s="48">
        <f t="shared" si="9"/>
        <v>16823674946.57557</v>
      </c>
      <c r="H66" s="48">
        <f t="shared" si="10"/>
        <v>3913186792.5734773</v>
      </c>
      <c r="I66" s="51">
        <f t="shared" si="14"/>
        <v>1.269734648531915</v>
      </c>
      <c r="J66" s="48">
        <f t="shared" si="11"/>
        <v>4968708.856708015</v>
      </c>
    </row>
    <row r="67" ht="12.75">
      <c r="A67" s="41"/>
    </row>
    <row r="68" spans="9:10" ht="12.75">
      <c r="I68" s="47" t="s">
        <v>32</v>
      </c>
      <c r="J68" s="49">
        <f>SUM(J42:J66)</f>
        <v>51203500.19637441</v>
      </c>
    </row>
  </sheetData>
  <printOptions horizontalCentered="1" verticalCentered="1"/>
  <pageMargins left="0.7" right="0.7" top="0.41" bottom="0.41" header="0.3" footer="0.3"/>
  <pageSetup fitToHeight="1" fitToWidth="1" horizontalDpi="600" verticalDpi="600" orientation="landscape" scale="50"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AFD71187-4BE7-46C7-BB72-AF34793A32E8}">
  <ds:schemaRefs>
    <ds:schemaRef ds:uri="http://schemas.microsoft.com/sharepoint/v3/contenttype/forms"/>
  </ds:schemaRefs>
</ds:datastoreItem>
</file>

<file path=customXml/itemProps2.xml><?xml version="1.0" encoding="utf-8"?>
<ds:datastoreItem xmlns:ds="http://schemas.openxmlformats.org/officeDocument/2006/customXml" ds:itemID="{A806024E-8F84-4100-8213-A1BD47CD9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AB30C6-BB79-4396-8F7D-4BEA562EF0DB}">
  <ds:schemaRefs>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308dc21f-8940-46b7-9ee9-f86b439897b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Allende, Angel</cp:lastModifiedBy>
  <cp:lastPrinted>2013-06-12T19:47:01Z</cp:lastPrinted>
  <dcterms:created xsi:type="dcterms:W3CDTF">1999-06-02T23:29:55Z</dcterms:created>
  <dcterms:modified xsi:type="dcterms:W3CDTF">2013-06-27T23:04:19Z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