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GRHI Supple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Jason King</author>
  </authors>
  <commentList>
    <comment ref="A22" authorId="0">
      <text>
        <r>
          <rPr>
            <b/>
            <sz val="8"/>
            <rFont val="Tahoma"/>
            <family val="0"/>
          </rPr>
          <t>Jason King:</t>
        </r>
        <r>
          <rPr>
            <sz val="8"/>
            <rFont val="Tahoma"/>
            <family val="0"/>
          </rPr>
          <t xml:space="preserve">
Includes all positions except the Captain</t>
        </r>
      </text>
    </comment>
    <comment ref="A23" authorId="0">
      <text>
        <r>
          <rPr>
            <b/>
            <sz val="8"/>
            <rFont val="Tahoma"/>
            <family val="0"/>
          </rPr>
          <t>Jason King:</t>
        </r>
        <r>
          <rPr>
            <sz val="8"/>
            <rFont val="Tahoma"/>
            <family val="0"/>
          </rPr>
          <t xml:space="preserve">
Includes all Sworn</t>
        </r>
      </text>
    </comment>
  </commentList>
</comments>
</file>

<file path=xl/sharedStrings.xml><?xml version="1.0" encoding="utf-8"?>
<sst xmlns="http://schemas.openxmlformats.org/spreadsheetml/2006/main" count="47" uniqueCount="44">
  <si>
    <t>2004 GRHI Supplemental Request</t>
  </si>
  <si>
    <t>Positions</t>
  </si>
  <si>
    <t>Months</t>
  </si>
  <si>
    <t>Total Months</t>
  </si>
  <si>
    <t>2003 Salary</t>
  </si>
  <si>
    <t>2003 Sal</t>
  </si>
  <si>
    <t>Benefits</t>
  </si>
  <si>
    <t>Total</t>
  </si>
  <si>
    <t>FTEs</t>
  </si>
  <si>
    <t>Captain</t>
  </si>
  <si>
    <t>Sergeant</t>
  </si>
  <si>
    <t>Detective</t>
  </si>
  <si>
    <t>Detectives</t>
  </si>
  <si>
    <t>Subtotal Sworn</t>
  </si>
  <si>
    <t>Admin Spec II</t>
  </si>
  <si>
    <t>Evidence Specialist</t>
  </si>
  <si>
    <t>Subtotal Salaries and Benefits</t>
  </si>
  <si>
    <t>Absorbed Sergeant</t>
  </si>
  <si>
    <t>Absorbed Detectives</t>
  </si>
  <si>
    <t>Absorbed Database Mngr (Technical Corr)</t>
  </si>
  <si>
    <t>Absorbed Detective 9 (Technical Corr)</t>
  </si>
  <si>
    <t>Absorbed Detective 10 (Technical Corr)</t>
  </si>
  <si>
    <t xml:space="preserve">   Totals</t>
  </si>
  <si>
    <t>Other Personnel Costs</t>
  </si>
  <si>
    <t>COLA</t>
  </si>
  <si>
    <t>Overtime</t>
  </si>
  <si>
    <t>Spec Pay</t>
  </si>
  <si>
    <t xml:space="preserve">Salary </t>
  </si>
  <si>
    <t>Detective Pay</t>
  </si>
  <si>
    <t>Other Special Pay</t>
  </si>
  <si>
    <t>Comms</t>
  </si>
  <si>
    <t>Transportation</t>
  </si>
  <si>
    <t>Lease Vehicles (GRHI)</t>
  </si>
  <si>
    <t>Gasoline (GRHI)</t>
  </si>
  <si>
    <t>Physical Infrastructure (through 3/31/03)</t>
  </si>
  <si>
    <t>Lease Space</t>
  </si>
  <si>
    <t>Building Maintenance/Utilities</t>
  </si>
  <si>
    <t>Copier/Fax Rental</t>
  </si>
  <si>
    <t>Supplies</t>
  </si>
  <si>
    <t>DNA Services &amp; Experts</t>
  </si>
  <si>
    <t>Grand Total</t>
  </si>
  <si>
    <t>Less Current GRHI Budget</t>
  </si>
  <si>
    <t xml:space="preserve">Total GHRI Supplemental Amount </t>
  </si>
  <si>
    <t>2004 COPS UHP Grant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</si>
</sst>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3" fillId="0" borderId="0" xfId="0" applyNumberFormat="1" applyFont="1" applyAlignment="1">
      <alignment horizontal="right" wrapText="1"/>
    </xf>
    <xf numFmtId="38" fontId="3" fillId="0" borderId="0" xfId="0" applyNumberFormat="1" applyFont="1" applyAlignment="1">
      <alignment horizontal="center" wrapText="1"/>
    </xf>
    <xf numFmtId="38" fontId="3" fillId="0" borderId="0" xfId="15" applyNumberFormat="1" applyFont="1" applyAlignment="1">
      <alignment horizontal="center" wrapText="1"/>
    </xf>
    <xf numFmtId="38" fontId="0" fillId="0" borderId="1" xfId="0" applyNumberFormat="1" applyFont="1" applyBorder="1" applyAlignment="1">
      <alignment horizontal="center" wrapText="1"/>
    </xf>
    <xf numFmtId="38" fontId="0" fillId="0" borderId="2" xfId="0" applyNumberFormat="1" applyFont="1" applyBorder="1" applyAlignment="1">
      <alignment horizontal="center" wrapText="1"/>
    </xf>
    <xf numFmtId="38" fontId="0" fillId="0" borderId="3" xfId="0" applyNumberFormat="1" applyFont="1" applyBorder="1" applyAlignment="1">
      <alignment horizontal="center" wrapText="1"/>
    </xf>
    <xf numFmtId="43" fontId="0" fillId="0" borderId="0" xfId="15" applyAlignment="1">
      <alignment horizontal="center"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164" fontId="0" fillId="0" borderId="5" xfId="15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15" applyNumberFormat="1" applyFont="1" applyAlignment="1">
      <alignment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164" fontId="0" fillId="0" borderId="8" xfId="15" applyNumberFormat="1" applyBorder="1" applyAlignment="1">
      <alignment/>
    </xf>
    <xf numFmtId="38" fontId="0" fillId="0" borderId="9" xfId="0" applyNumberFormat="1" applyBorder="1" applyAlignment="1">
      <alignment/>
    </xf>
    <xf numFmtId="38" fontId="2" fillId="0" borderId="9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38" fontId="0" fillId="0" borderId="0" xfId="15" applyNumberFormat="1" applyFill="1" applyAlignment="1">
      <alignment/>
    </xf>
    <xf numFmtId="38" fontId="2" fillId="0" borderId="0" xfId="0" applyNumberFormat="1" applyFont="1" applyAlignment="1">
      <alignment/>
    </xf>
    <xf numFmtId="38" fontId="0" fillId="0" borderId="10" xfId="0" applyNumberFormat="1" applyBorder="1" applyAlignment="1">
      <alignment/>
    </xf>
    <xf numFmtId="38" fontId="0" fillId="0" borderId="10" xfId="15" applyNumberFormat="1" applyBorder="1" applyAlignment="1">
      <alignment/>
    </xf>
    <xf numFmtId="43" fontId="0" fillId="0" borderId="10" xfId="15" applyBorder="1" applyAlignment="1">
      <alignment horizontal="center"/>
    </xf>
    <xf numFmtId="38" fontId="2" fillId="0" borderId="7" xfId="0" applyNumberFormat="1" applyFont="1" applyBorder="1" applyAlignment="1">
      <alignment horizontal="right"/>
    </xf>
    <xf numFmtId="38" fontId="2" fillId="0" borderId="8" xfId="0" applyNumberFormat="1" applyFont="1" applyBorder="1" applyAlignment="1">
      <alignment/>
    </xf>
    <xf numFmtId="38" fontId="2" fillId="0" borderId="8" xfId="15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43" fontId="2" fillId="0" borderId="12" xfId="15" applyFont="1" applyBorder="1" applyAlignment="1">
      <alignment horizontal="center"/>
    </xf>
    <xf numFmtId="38" fontId="2" fillId="0" borderId="0" xfId="0" applyNumberFormat="1" applyFon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0" xfId="15" applyNumberFormat="1" applyBorder="1" applyAlignment="1">
      <alignment/>
    </xf>
    <xf numFmtId="38" fontId="2" fillId="0" borderId="0" xfId="15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9" fontId="0" fillId="0" borderId="0" xfId="19" applyAlignment="1">
      <alignment/>
    </xf>
    <xf numFmtId="38" fontId="0" fillId="0" borderId="8" xfId="15" applyNumberFormat="1" applyBorder="1" applyAlignment="1">
      <alignment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2" fillId="0" borderId="3" xfId="0" applyNumberFormat="1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2" fillId="0" borderId="0" xfId="15" applyNumberFormat="1" applyFont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13" xfId="0" applyNumberFormat="1" applyFont="1" applyFill="1" applyBorder="1" applyAlignment="1">
      <alignment horizontal="left"/>
    </xf>
    <xf numFmtId="38" fontId="1" fillId="2" borderId="0" xfId="15" applyNumberFormat="1" applyFont="1" applyFill="1" applyBorder="1" applyAlignment="1">
      <alignment horizontal="center"/>
    </xf>
    <xf numFmtId="38" fontId="2" fillId="3" borderId="1" xfId="0" applyNumberFormat="1" applyFont="1" applyFill="1" applyBorder="1" applyAlignment="1">
      <alignment horizontal="center"/>
    </xf>
    <xf numFmtId="38" fontId="2" fillId="3" borderId="2" xfId="0" applyNumberFormat="1" applyFont="1" applyFill="1" applyBorder="1" applyAlignment="1">
      <alignment horizontal="center"/>
    </xf>
    <xf numFmtId="38" fontId="2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ingJas\Local%20Settings\Temporary%20Internet%20Files\OLK11C\GRHI%20Rpt%202004%20Proviso-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jchon\Local%20Settings\Temporary%20Internet%20Files\OLKB3\GRHI%20Proviso%20Rpt-June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l pays &amp; COLA"/>
      <sheetName val="Approp in Low Org"/>
      <sheetName val="Homeland Sec Supple"/>
      <sheetName val="GRHI New Approp 2003-04"/>
      <sheetName val="VCRT Supple"/>
      <sheetName val="Revenue"/>
      <sheetName val="Posit Changes"/>
      <sheetName val="KCSO GRHI"/>
      <sheetName val="KCSO GRHI Incl Savings"/>
      <sheetName val="RRI - Old"/>
      <sheetName val="Working copy"/>
      <sheetName val="Sheet2"/>
      <sheetName val="2003 and 2004 budget"/>
    </sheetNames>
    <sheetDataSet>
      <sheetData sheetId="7">
        <row r="63">
          <cell r="L63">
            <v>32500</v>
          </cell>
        </row>
        <row r="64">
          <cell r="L64">
            <v>6750</v>
          </cell>
        </row>
        <row r="65">
          <cell r="L65">
            <v>3715.75</v>
          </cell>
        </row>
        <row r="66">
          <cell r="L66">
            <v>3500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ing copy"/>
      <sheetName val="Sheet2"/>
      <sheetName val="Approp in Low Org"/>
      <sheetName val="GRHI New Approp 2003-04"/>
      <sheetName val="HLS Suppl"/>
      <sheetName val="Absorbed Positions"/>
      <sheetName val="GRHI Supple"/>
      <sheetName val="Big Picture $$"/>
      <sheetName val="Big Picture Positions"/>
      <sheetName val="VCRT Supple"/>
      <sheetName val="Revenue by Yr and Function"/>
      <sheetName val="Revenue Rollup"/>
      <sheetName val="Rev by Year (GRHI)"/>
      <sheetName val="Rev by Year (VCRT)"/>
      <sheetName val="Rev by Year (HLS)"/>
      <sheetName val="2003 and 2004 budget"/>
    </sheetNames>
    <sheetDataSet>
      <sheetData sheetId="5">
        <row r="9">
          <cell r="H9">
            <v>246026.52479999998</v>
          </cell>
        </row>
      </sheetData>
      <sheetData sheetId="10">
        <row r="8">
          <cell r="C8">
            <v>59324.41666666666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A1">
      <selection activeCell="J1" sqref="J1:AF16384"/>
    </sheetView>
  </sheetViews>
  <sheetFormatPr defaultColWidth="9.140625" defaultRowHeight="12.75"/>
  <cols>
    <col min="1" max="1" width="30.140625" style="1" customWidth="1"/>
    <col min="2" max="2" width="8.57421875" style="1" customWidth="1"/>
    <col min="3" max="3" width="7.00390625" style="1" customWidth="1"/>
    <col min="4" max="4" width="9.140625" style="1" customWidth="1"/>
    <col min="5" max="5" width="10.00390625" style="1" customWidth="1"/>
    <col min="6" max="6" width="8.421875" style="1" customWidth="1"/>
    <col min="7" max="7" width="9.00390625" style="2" customWidth="1"/>
    <col min="8" max="8" width="9.8515625" style="1" customWidth="1"/>
    <col min="9" max="9" width="8.140625" style="1" customWidth="1"/>
    <col min="10" max="10" width="6.7109375" style="1" hidden="1" customWidth="1"/>
    <col min="11" max="12" width="0" style="1" hidden="1" customWidth="1"/>
    <col min="13" max="13" width="8.140625" style="1" hidden="1" customWidth="1"/>
    <col min="14" max="14" width="10.28125" style="1" hidden="1" customWidth="1"/>
    <col min="15" max="32" width="0" style="1" hidden="1" customWidth="1"/>
    <col min="33" max="16384" width="9.140625" style="1" customWidth="1"/>
  </cols>
  <sheetData>
    <row r="1" spans="1:9" ht="15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0:15" ht="15" customHeight="1">
      <c r="J2" s="53"/>
      <c r="K2" s="54"/>
      <c r="L2" s="54"/>
      <c r="M2" s="54"/>
      <c r="N2" s="54"/>
      <c r="O2" s="55"/>
    </row>
    <row r="3" spans="2:15" s="3" customFormat="1" ht="25.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 s="6"/>
      <c r="K3" s="7"/>
      <c r="L3" s="7"/>
      <c r="M3" s="7"/>
      <c r="N3" s="7"/>
      <c r="O3" s="8"/>
    </row>
    <row r="4" spans="1:15" ht="12.75">
      <c r="A4" s="1" t="s">
        <v>9</v>
      </c>
      <c r="B4" s="1">
        <v>1</v>
      </c>
      <c r="C4" s="1">
        <v>2</v>
      </c>
      <c r="D4" s="1">
        <f>B4*C4</f>
        <v>2</v>
      </c>
      <c r="E4" s="2">
        <v>84308</v>
      </c>
      <c r="F4" s="2">
        <f>+E4/12*C4</f>
        <v>14051.333333333334</v>
      </c>
      <c r="G4" s="2">
        <f>+((921+168+(2675/12))*C4)+((0.0765+0.0326)*F4)</f>
        <v>4156.8338</v>
      </c>
      <c r="H4" s="1">
        <f>+G4+F4</f>
        <v>18208.167133333336</v>
      </c>
      <c r="I4" s="9">
        <f>(B4*C4)/12</f>
        <v>0.16666666666666666</v>
      </c>
      <c r="J4" s="10"/>
      <c r="K4" s="11"/>
      <c r="L4" s="11"/>
      <c r="M4" s="11"/>
      <c r="N4" s="12"/>
      <c r="O4" s="13"/>
    </row>
    <row r="5" spans="1:15" ht="12.75">
      <c r="A5" s="1" t="s">
        <v>10</v>
      </c>
      <c r="B5" s="1">
        <v>1</v>
      </c>
      <c r="C5" s="1">
        <v>3</v>
      </c>
      <c r="D5" s="1">
        <f>B5*C5</f>
        <v>3</v>
      </c>
      <c r="E5" s="14">
        <v>71255</v>
      </c>
      <c r="F5" s="2">
        <f>+E5/12*C5</f>
        <v>17813.75</v>
      </c>
      <c r="G5" s="2">
        <f>+((921+168+(2675/12))*C5)+((0.0765+0.0326)*F5)</f>
        <v>5879.230125</v>
      </c>
      <c r="H5" s="1">
        <f>+G5+F5</f>
        <v>23692.980125000002</v>
      </c>
      <c r="I5" s="9">
        <f>(B5*C5)/12</f>
        <v>0.25</v>
      </c>
      <c r="J5" s="15"/>
      <c r="K5" s="16"/>
      <c r="L5" s="16"/>
      <c r="M5" s="16"/>
      <c r="N5" s="17"/>
      <c r="O5" s="18"/>
    </row>
    <row r="6" spans="1:15" ht="12.75">
      <c r="A6" s="1" t="s">
        <v>11</v>
      </c>
      <c r="B6" s="1">
        <v>1</v>
      </c>
      <c r="C6" s="1">
        <v>1</v>
      </c>
      <c r="D6" s="1">
        <f>B6*C6</f>
        <v>1</v>
      </c>
      <c r="E6" s="2">
        <v>58979</v>
      </c>
      <c r="F6" s="2">
        <f>+E6/12*C6</f>
        <v>4914.916666666667</v>
      </c>
      <c r="G6" s="2">
        <f>+((921+168+(2675/12))*C6)+((0.0765+0.0326)*F6)</f>
        <v>1848.1340750000002</v>
      </c>
      <c r="H6" s="1">
        <f>+G6+F6</f>
        <v>6763.050741666667</v>
      </c>
      <c r="I6" s="9">
        <f>(B6*C6)/12</f>
        <v>0.08333333333333333</v>
      </c>
      <c r="J6" s="15"/>
      <c r="K6" s="16"/>
      <c r="L6" s="16"/>
      <c r="M6" s="16"/>
      <c r="N6" s="16"/>
      <c r="O6" s="19"/>
    </row>
    <row r="7" spans="1:13" ht="12.75">
      <c r="A7" s="1" t="s">
        <v>12</v>
      </c>
      <c r="B7" s="1">
        <v>3</v>
      </c>
      <c r="C7" s="1">
        <v>3</v>
      </c>
      <c r="D7" s="1">
        <f>B7*C7</f>
        <v>9</v>
      </c>
      <c r="E7" s="2">
        <v>58979</v>
      </c>
      <c r="F7" s="2">
        <f>+E7/12*C7*B7</f>
        <v>44234.25</v>
      </c>
      <c r="G7" s="2">
        <f>+((921+168+(2675/12))*C7*B7)+((0.0765+0.0326)*F7)</f>
        <v>16633.206675</v>
      </c>
      <c r="H7" s="1">
        <f>+G7+F7</f>
        <v>60867.456675</v>
      </c>
      <c r="I7" s="9">
        <f>(B7*C7)/12</f>
        <v>0.75</v>
      </c>
      <c r="J7" s="16"/>
      <c r="K7" s="16"/>
      <c r="L7" s="16"/>
      <c r="M7" s="16"/>
    </row>
    <row r="8" spans="1:13" ht="12.75">
      <c r="A8" s="20" t="s">
        <v>13</v>
      </c>
      <c r="B8" s="1">
        <f>SUM(B4:B7)</f>
        <v>6</v>
      </c>
      <c r="D8" s="1">
        <f>SUM(D4:D7)</f>
        <v>15</v>
      </c>
      <c r="E8" s="21"/>
      <c r="F8" s="2"/>
      <c r="I8" s="9">
        <f>SUM(I4:I7)</f>
        <v>1.25</v>
      </c>
      <c r="L8" s="22"/>
      <c r="M8" s="22"/>
    </row>
    <row r="9" spans="1:9" ht="12.75">
      <c r="A9" s="1" t="s">
        <v>14</v>
      </c>
      <c r="B9" s="1">
        <v>1</v>
      </c>
      <c r="C9" s="1">
        <v>3</v>
      </c>
      <c r="D9" s="1">
        <f>B9*C9</f>
        <v>3</v>
      </c>
      <c r="E9" s="2">
        <f>33865*1.0203</f>
        <v>34552.4595</v>
      </c>
      <c r="F9" s="2">
        <f>+E9/12*C9</f>
        <v>8638.114875</v>
      </c>
      <c r="G9" s="2">
        <f>+((953+(920/12))*C9)+((0.0765+0.0326)*F9)</f>
        <v>4031.4183328625</v>
      </c>
      <c r="H9" s="1">
        <f>+G9+F9</f>
        <v>12669.5332078625</v>
      </c>
      <c r="I9" s="9">
        <f>(B9*C9)/12</f>
        <v>0.25</v>
      </c>
    </row>
    <row r="10" spans="1:9" ht="13.5" thickBot="1">
      <c r="A10" s="23" t="s">
        <v>15</v>
      </c>
      <c r="B10" s="23">
        <v>1</v>
      </c>
      <c r="C10" s="23">
        <v>2</v>
      </c>
      <c r="D10" s="23">
        <f>B10*C10</f>
        <v>2</v>
      </c>
      <c r="E10" s="24">
        <v>38752</v>
      </c>
      <c r="F10" s="24">
        <f>+E10/12*C10</f>
        <v>6458.666666666667</v>
      </c>
      <c r="G10" s="24">
        <f>+((953+(920/12))*C10)+((0.0765+0.0326)*F10)</f>
        <v>2763.9738666666667</v>
      </c>
      <c r="H10" s="23">
        <f>+G10+F10</f>
        <v>9222.640533333333</v>
      </c>
      <c r="I10" s="25">
        <f>(B10*C10)/12</f>
        <v>0.16666666666666666</v>
      </c>
    </row>
    <row r="11" spans="1:9" s="22" customFormat="1" ht="13.5" thickTop="1">
      <c r="A11" s="26" t="s">
        <v>16</v>
      </c>
      <c r="B11" s="27">
        <f>SUM(B8:B10)</f>
        <v>8</v>
      </c>
      <c r="C11" s="27"/>
      <c r="D11" s="27">
        <f>SUM(D8:D10)</f>
        <v>20</v>
      </c>
      <c r="E11" s="28"/>
      <c r="F11" s="28">
        <f>SUM(F4:F10)</f>
        <v>96111.03154166667</v>
      </c>
      <c r="G11" s="28">
        <f>SUM(G4:G10)</f>
        <v>35312.796874529166</v>
      </c>
      <c r="H11" s="29">
        <f>SUM(H4:H10)</f>
        <v>131423.8284161958</v>
      </c>
      <c r="I11" s="30">
        <f>SUM(I8:I10)</f>
        <v>1.6666666666666667</v>
      </c>
    </row>
    <row r="12" spans="1:11" ht="12.75">
      <c r="A12" s="31"/>
      <c r="B12" s="32"/>
      <c r="C12" s="32"/>
      <c r="D12" s="32"/>
      <c r="E12" s="33"/>
      <c r="F12" s="34"/>
      <c r="G12" s="34"/>
      <c r="H12" s="35"/>
      <c r="I12" s="36"/>
      <c r="K12" s="37"/>
    </row>
    <row r="13" spans="1:6" ht="12.75" hidden="1">
      <c r="A13" s="1" t="s">
        <v>17</v>
      </c>
      <c r="D13" s="1">
        <v>3</v>
      </c>
      <c r="E13" s="14"/>
      <c r="F13" s="2"/>
    </row>
    <row r="14" spans="1:6" ht="12.75" hidden="1">
      <c r="A14" s="1" t="s">
        <v>18</v>
      </c>
      <c r="E14" s="2"/>
      <c r="F14" s="2"/>
    </row>
    <row r="15" spans="1:9" ht="12.75" hidden="1">
      <c r="A15" s="1" t="s">
        <v>19</v>
      </c>
      <c r="C15" s="1">
        <v>12</v>
      </c>
      <c r="E15" s="2">
        <f>63752*1.0203</f>
        <v>65046.1656</v>
      </c>
      <c r="F15" s="2">
        <f>+E15/12*C15</f>
        <v>65046.16559999999</v>
      </c>
      <c r="G15" s="2">
        <f>+((953+(920/12))*C15)+((0.0765+0.0326)*F15)</f>
        <v>19452.53666696</v>
      </c>
      <c r="H15" s="1">
        <f>+G15+F15</f>
        <v>84498.70226696</v>
      </c>
      <c r="I15" s="1">
        <f>+H15</f>
        <v>84498.70226696</v>
      </c>
    </row>
    <row r="16" spans="1:9" ht="12.75" hidden="1">
      <c r="A16" s="32" t="s">
        <v>20</v>
      </c>
      <c r="B16" s="32"/>
      <c r="C16" s="32">
        <v>12</v>
      </c>
      <c r="D16" s="32"/>
      <c r="E16" s="33">
        <v>60748</v>
      </c>
      <c r="F16" s="33">
        <f>+E16/12*C16</f>
        <v>60748</v>
      </c>
      <c r="G16" s="33">
        <f>+((921+168+(2675/12))*C16)+((0.0765+0.0326)*F16)</f>
        <v>22370.6068</v>
      </c>
      <c r="H16" s="32">
        <f>+G16+F16</f>
        <v>83118.60680000001</v>
      </c>
      <c r="I16" s="1">
        <f>+H16</f>
        <v>83118.60680000001</v>
      </c>
    </row>
    <row r="17" spans="1:9" ht="12.75" hidden="1">
      <c r="A17" s="16" t="s">
        <v>21</v>
      </c>
      <c r="B17" s="16"/>
      <c r="C17" s="16">
        <v>12</v>
      </c>
      <c r="D17" s="16"/>
      <c r="E17" s="38">
        <v>60748</v>
      </c>
      <c r="F17" s="38">
        <f>+E17/12*C17</f>
        <v>60748</v>
      </c>
      <c r="G17" s="38">
        <f>+((921+168+(2675/12))*C17)+((0.0765+0.0326)*F17)</f>
        <v>22370.6068</v>
      </c>
      <c r="H17" s="16">
        <f>+G17+F17</f>
        <v>83118.60680000001</v>
      </c>
      <c r="I17" s="1">
        <f>+H17</f>
        <v>83118.60680000001</v>
      </c>
    </row>
    <row r="18" spans="1:8" ht="12.75" hidden="1">
      <c r="A18" s="1" t="s">
        <v>22</v>
      </c>
      <c r="E18" s="2"/>
      <c r="F18" s="2">
        <f>SUM(F15:F17)</f>
        <v>186542.1656</v>
      </c>
      <c r="G18" s="2">
        <f>SUM(G15:G17)</f>
        <v>64193.75026696</v>
      </c>
      <c r="H18" s="22">
        <f>SUM(H15:H17)</f>
        <v>250735.91586696001</v>
      </c>
    </row>
    <row r="19" spans="5:6" ht="12.75">
      <c r="E19" s="2"/>
      <c r="F19" s="2"/>
    </row>
    <row r="20" spans="1:6" ht="12.75">
      <c r="A20" s="39" t="s">
        <v>23</v>
      </c>
      <c r="E20" s="2"/>
      <c r="F20" s="2"/>
    </row>
    <row r="21" spans="1:8" ht="12.75">
      <c r="A21" s="40" t="s">
        <v>24</v>
      </c>
      <c r="E21" s="2"/>
      <c r="F21" s="2"/>
      <c r="H21" s="41"/>
    </row>
    <row r="22" spans="1:13" ht="12.75">
      <c r="A22" s="1" t="s">
        <v>25</v>
      </c>
      <c r="D22" s="1">
        <f>SUM(C5:C6)+(B7*C7)+C9+C10</f>
        <v>18</v>
      </c>
      <c r="E22" s="1">
        <f>4016/12</f>
        <v>334.6666666666667</v>
      </c>
      <c r="G22" s="2">
        <f>508/12</f>
        <v>42.333333333333336</v>
      </c>
      <c r="H22" s="21">
        <f>0.2*51909</f>
        <v>10381.800000000001</v>
      </c>
      <c r="J22" s="42" t="s">
        <v>26</v>
      </c>
      <c r="K22" s="43" t="s">
        <v>27</v>
      </c>
      <c r="L22" s="43" t="s">
        <v>6</v>
      </c>
      <c r="M22" s="44" t="s">
        <v>7</v>
      </c>
    </row>
    <row r="23" spans="1:13" ht="12.75">
      <c r="A23" s="1" t="s">
        <v>28</v>
      </c>
      <c r="D23" s="1">
        <f>D8</f>
        <v>15</v>
      </c>
      <c r="E23" s="1">
        <v>276.9166666666667</v>
      </c>
      <c r="G23" s="2">
        <f>420/12</f>
        <v>35</v>
      </c>
      <c r="H23" s="2">
        <f>(D23*(G23+E23))</f>
        <v>4678.75</v>
      </c>
      <c r="J23" s="45" t="s">
        <v>9</v>
      </c>
      <c r="K23" s="32">
        <f>8946/12</f>
        <v>745.5</v>
      </c>
      <c r="L23" s="32">
        <f>1132/12</f>
        <v>94.33333333333333</v>
      </c>
      <c r="M23" s="46">
        <f>SUM(K23:L23)</f>
        <v>839.8333333333334</v>
      </c>
    </row>
    <row r="24" spans="1:13" ht="13.5" thickBot="1">
      <c r="A24" s="23" t="s">
        <v>29</v>
      </c>
      <c r="B24" s="23"/>
      <c r="C24" s="23"/>
      <c r="D24" s="23">
        <f>D23-2</f>
        <v>13</v>
      </c>
      <c r="E24" s="23">
        <f>4181.44/12</f>
        <v>348.4533333333333</v>
      </c>
      <c r="F24" s="23"/>
      <c r="G24" s="24">
        <f>529/12</f>
        <v>44.083333333333336</v>
      </c>
      <c r="H24" s="24">
        <f>(D24*(G24+E24))+(M23*2)+(M24*5)</f>
        <v>6981.81</v>
      </c>
      <c r="I24" s="47"/>
      <c r="J24" s="15" t="s">
        <v>30</v>
      </c>
      <c r="K24" s="16">
        <f>433/12</f>
        <v>36.083333333333336</v>
      </c>
      <c r="L24" s="16">
        <f>45/12</f>
        <v>3.75</v>
      </c>
      <c r="M24" s="18">
        <f>SUM(K24:L24)</f>
        <v>39.833333333333336</v>
      </c>
    </row>
    <row r="25" spans="1:8" ht="13.5" thickTop="1">
      <c r="A25" s="48"/>
      <c r="H25" s="49">
        <f>SUM(H21:H24)</f>
        <v>22042.36</v>
      </c>
    </row>
    <row r="26" spans="1:8" ht="12.75">
      <c r="A26" s="39" t="s">
        <v>31</v>
      </c>
      <c r="H26" s="2"/>
    </row>
    <row r="27" spans="1:11" ht="12.75">
      <c r="A27" s="32" t="s">
        <v>32</v>
      </c>
      <c r="B27" s="32"/>
      <c r="D27" s="32">
        <f>D8</f>
        <v>15</v>
      </c>
      <c r="E27" s="32">
        <f>(8685.68-1047.92)/12</f>
        <v>636.48</v>
      </c>
      <c r="F27" s="32"/>
      <c r="G27" s="33"/>
      <c r="H27" s="33">
        <f>D27*E27</f>
        <v>9547.2</v>
      </c>
      <c r="K27" s="1">
        <f>H11+H25</f>
        <v>153466.1884161958</v>
      </c>
    </row>
    <row r="28" spans="1:8" ht="12.75">
      <c r="A28" s="16" t="s">
        <v>33</v>
      </c>
      <c r="B28" s="16"/>
      <c r="C28" s="16"/>
      <c r="D28" s="16">
        <f>D8</f>
        <v>15</v>
      </c>
      <c r="E28" s="16">
        <f>1047.92/12</f>
        <v>87.32666666666667</v>
      </c>
      <c r="F28" s="16"/>
      <c r="G28" s="38"/>
      <c r="H28" s="38">
        <f>D28*E28</f>
        <v>1309.9</v>
      </c>
    </row>
    <row r="29" spans="1:8" ht="12.75">
      <c r="A29" s="50"/>
      <c r="H29" s="49">
        <f>SUM(H27:H28)</f>
        <v>10857.1</v>
      </c>
    </row>
    <row r="30" spans="1:8" ht="12.75">
      <c r="A30" s="51" t="s">
        <v>34</v>
      </c>
      <c r="B30" s="32"/>
      <c r="H30" s="2"/>
    </row>
    <row r="31" spans="1:8" ht="12.75">
      <c r="A31" s="1" t="s">
        <v>35</v>
      </c>
      <c r="H31" s="2">
        <f>+'[1]KCSO GRHI'!L63</f>
        <v>32500</v>
      </c>
    </row>
    <row r="32" spans="1:8" ht="12.75">
      <c r="A32" s="1" t="s">
        <v>36</v>
      </c>
      <c r="H32" s="2">
        <f>+'[1]KCSO GRHI'!L64</f>
        <v>6750</v>
      </c>
    </row>
    <row r="33" spans="1:8" ht="12.75">
      <c r="A33" s="32" t="s">
        <v>37</v>
      </c>
      <c r="B33" s="32"/>
      <c r="C33" s="32"/>
      <c r="D33" s="32"/>
      <c r="E33" s="32"/>
      <c r="F33" s="32"/>
      <c r="G33" s="33"/>
      <c r="H33" s="33">
        <f>+'[1]KCSO GRHI'!L65</f>
        <v>3715.75</v>
      </c>
    </row>
    <row r="34" spans="1:8" ht="12.75">
      <c r="A34" s="16" t="s">
        <v>38</v>
      </c>
      <c r="B34" s="16"/>
      <c r="C34" s="16"/>
      <c r="D34" s="16"/>
      <c r="E34" s="16"/>
      <c r="F34" s="16"/>
      <c r="G34" s="38"/>
      <c r="H34" s="38">
        <f>+'[1]KCSO GRHI'!L66</f>
        <v>3500</v>
      </c>
    </row>
    <row r="35" ht="12.75">
      <c r="H35" s="49">
        <f>SUM(H31:H34)</f>
        <v>46465.75</v>
      </c>
    </row>
    <row r="36" ht="12.75">
      <c r="H36" s="2"/>
    </row>
    <row r="37" spans="1:8" ht="12.75">
      <c r="A37" s="1" t="s">
        <v>39</v>
      </c>
      <c r="H37" s="49">
        <v>25000</v>
      </c>
    </row>
    <row r="38" spans="5:6" ht="12.75">
      <c r="E38" s="2"/>
      <c r="F38" s="2"/>
    </row>
    <row r="39" spans="1:8" ht="12.75">
      <c r="A39" s="1" t="s">
        <v>40</v>
      </c>
      <c r="H39" s="1">
        <f>H11+H25+H29+H35+H37</f>
        <v>235789.0384161958</v>
      </c>
    </row>
    <row r="41" spans="1:8" ht="12.75">
      <c r="A41" s="1" t="s">
        <v>41</v>
      </c>
      <c r="H41" s="1">
        <f>-628578+'[2]Absorbed Positions'!H9</f>
        <v>-382551.4752</v>
      </c>
    </row>
    <row r="43" spans="1:8" ht="12.75">
      <c r="A43" s="1" t="s">
        <v>42</v>
      </c>
      <c r="H43" s="22">
        <f>SUM(H39:H42)</f>
        <v>-146762.43678380418</v>
      </c>
    </row>
    <row r="45" spans="1:8" ht="12.75">
      <c r="A45" s="1" t="s">
        <v>43</v>
      </c>
      <c r="H45" s="2">
        <f>+'[2]Revenue by Yr and Function'!$C$8</f>
        <v>59324.41666666666</v>
      </c>
    </row>
  </sheetData>
  <mergeCells count="2">
    <mergeCell ref="A1:I1"/>
    <mergeCell ref="J2:O2"/>
  </mergeCells>
  <printOptions/>
  <pageMargins left="0.75" right="0.75" top="1" bottom="1" header="0.5" footer="0.5"/>
  <pageSetup fitToHeight="1" fitToWidth="1"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cp:lastPrinted>2004-09-08T17:00:05Z</cp:lastPrinted>
  <dcterms:created xsi:type="dcterms:W3CDTF">2004-08-05T21:28:20Z</dcterms:created>
  <dcterms:modified xsi:type="dcterms:W3CDTF">2004-10-12T15:37:41Z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-403495520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89822391</vt:i4>
  </property>
  <property fmtid="{D5CDD505-2E9C-101B-9397-08002B2CF9AE}" pid="7" name="_ReviewingToolsShownOnce">
    <vt:lpwstr/>
  </property>
</Properties>
</file>