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Revised Proforma Nov 2006" sheetId="1" r:id="rId1"/>
  </sheets>
  <externalReferences>
    <externalReference r:id="rId4"/>
    <externalReference r:id="rId5"/>
    <externalReference r:id="rId6"/>
  </externalReferences>
  <definedNames>
    <definedName name="_xlnm.Print_Area" localSheetId="0">'Revised Proforma Nov 2006'!$D$56:$Q$142</definedName>
  </definedNames>
  <calcPr fullCalcOnLoad="1"/>
</workbook>
</file>

<file path=xl/comments1.xml><?xml version="1.0" encoding="utf-8"?>
<comments xmlns="http://schemas.openxmlformats.org/spreadsheetml/2006/main">
  <authors>
    <author>kc</author>
  </authors>
  <commentList>
    <comment ref="H62" authorId="0">
      <text>
        <r>
          <rPr>
            <b/>
            <sz val="8"/>
            <rFont val="Tahoma"/>
            <family val="0"/>
          </rPr>
          <t xml:space="preserve">kc: per discussion w Jim Burt 10/30 use the base amount of approx $1.03 per SF (similar to King Street) plus $30K for garage escalated by 3% to begin in 2008.  Not in the MMRF plan till 2008
</t>
        </r>
      </text>
    </comment>
  </commentList>
</comments>
</file>

<file path=xl/sharedStrings.xml><?xml version="1.0" encoding="utf-8"?>
<sst xmlns="http://schemas.openxmlformats.org/spreadsheetml/2006/main" count="300" uniqueCount="259">
  <si>
    <t>Added cost to construction</t>
  </si>
  <si>
    <t>Office</t>
  </si>
  <si>
    <t>GH Garage</t>
  </si>
  <si>
    <t>Total</t>
  </si>
  <si>
    <t>Current Alternative Capital Cost</t>
  </si>
  <si>
    <t>Tunnel Included?</t>
  </si>
  <si>
    <t>no</t>
  </si>
  <si>
    <t>w/o trans costs</t>
  </si>
  <si>
    <t>Amount of FAR to purchase</t>
  </si>
  <si>
    <t>includes contingency per Cindy worksheet</t>
  </si>
  <si>
    <t>Cost per unit of FAR</t>
  </si>
  <si>
    <t>Per Cindy worksheet</t>
  </si>
  <si>
    <t>Garage fraction</t>
  </si>
  <si>
    <t>Goat Hill capital cost</t>
  </si>
  <si>
    <t>w financing trans</t>
  </si>
  <si>
    <t>Maximum RSF calculation</t>
  </si>
  <si>
    <t>Minimum RSF calculation</t>
  </si>
  <si>
    <t>Base Building assumed</t>
  </si>
  <si>
    <t>New Building Total used</t>
  </si>
  <si>
    <t>Alternative additional space-RSF</t>
  </si>
  <si>
    <t>Amount storage</t>
  </si>
  <si>
    <t>amount regular</t>
  </si>
  <si>
    <t>storage rate as fraction of regular</t>
  </si>
  <si>
    <t>Alternative B Previous Cost Base</t>
  </si>
  <si>
    <t>Increment to Alt B cost</t>
  </si>
  <si>
    <t>Interest Rate</t>
  </si>
  <si>
    <t>Years in Repayment of lease</t>
  </si>
  <si>
    <t>Year in repayment of remodel loan</t>
  </si>
  <si>
    <t>Base Payment</t>
  </si>
  <si>
    <t>Increment lease Payment</t>
  </si>
  <si>
    <t>MMRF Payment Base</t>
  </si>
  <si>
    <t>similar to King Street plus $30K in base for garage</t>
  </si>
  <si>
    <t>Remodel Payment Base (25 years)</t>
  </si>
  <si>
    <t>revised borrowing to $1.4 million per DP</t>
  </si>
  <si>
    <t>Motor Pool Cost Allocation</t>
  </si>
  <si>
    <t>Motor Pool Lease Payment</t>
  </si>
  <si>
    <t>Lease rate outyear escalation</t>
  </si>
  <si>
    <t>General Inflation</t>
  </si>
  <si>
    <t>Discount Rate</t>
  </si>
  <si>
    <t>Net Savings through end of debt service (e.g., 28 years)-Cumulative nominal</t>
  </si>
  <si>
    <t>Net Savings through end of debt service (e.g., 28 years)-Cumulative-Expressed in $2004 budget dollars</t>
  </si>
  <si>
    <t>Annual Savings in year 29 w no lease-current $2004 dollars</t>
  </si>
  <si>
    <t>NPV for 28 Years savings-PV of annual difference as lump sum amount in 2007</t>
  </si>
  <si>
    <t>value</t>
  </si>
  <si>
    <t>NPV 28 year impact of current alt vs Base</t>
  </si>
  <si>
    <t xml:space="preserve"> </t>
  </si>
  <si>
    <t>Discount rate</t>
  </si>
  <si>
    <t>Parking Alone</t>
  </si>
  <si>
    <t>Current Revenue net 730 spaces</t>
  </si>
  <si>
    <t>2007 Equivalent</t>
  </si>
  <si>
    <t>Financing and Revenue Proforma</t>
  </si>
  <si>
    <t>Expenses</t>
  </si>
  <si>
    <t>63-20 Lease Payment including Agent</t>
  </si>
  <si>
    <t>Lease termination one-times</t>
  </si>
  <si>
    <t>MMRF payment</t>
  </si>
  <si>
    <t>Remodel payment deduct since revenues from state leases no longer counted</t>
  </si>
  <si>
    <t>Remodel Payment</t>
  </si>
  <si>
    <t>Subtotal Expenses</t>
  </si>
  <si>
    <t>Revenues</t>
  </si>
  <si>
    <t>Lease Payment savings</t>
  </si>
  <si>
    <t>Utility savings</t>
  </si>
  <si>
    <t>Parking Payment net unallocated (see revised worksheet attached)</t>
  </si>
  <si>
    <t>Subtotal Revenues</t>
  </si>
  <si>
    <t>NPV of Cash flow</t>
  </si>
  <si>
    <t>Annual Net Difference</t>
  </si>
  <si>
    <t>Accumulated Difference</t>
  </si>
  <si>
    <t>RSF Assumed for Lease savings</t>
  </si>
  <si>
    <t>Lease Savings (12 months vs 9 in 2007)</t>
  </si>
  <si>
    <t>Total new building leases</t>
  </si>
  <si>
    <t>Building Occupancy On average 2007</t>
  </si>
  <si>
    <t>Projected Lease Savings-Revised</t>
  </si>
  <si>
    <t>Rate/NNN</t>
  </si>
  <si>
    <t>location</t>
  </si>
  <si>
    <t>Move-in date</t>
  </si>
  <si>
    <t>department</t>
  </si>
  <si>
    <t>square footage</t>
  </si>
  <si>
    <t>Exchange and Bank of Cal</t>
  </si>
  <si>
    <t>DCHS</t>
  </si>
  <si>
    <t>Wells Fargo</t>
  </si>
  <si>
    <t>DPH</t>
  </si>
  <si>
    <t>Exchange</t>
  </si>
  <si>
    <t>Finance</t>
  </si>
  <si>
    <t>Key Tower and B of A</t>
  </si>
  <si>
    <t>OIRM/ITS</t>
  </si>
  <si>
    <t>Bank of America</t>
  </si>
  <si>
    <t>BRED</t>
  </si>
  <si>
    <t>Board of Ethics</t>
  </si>
  <si>
    <t>Yesler Building</t>
  </si>
  <si>
    <t>Ombudsman</t>
  </si>
  <si>
    <t>8th floor TBD</t>
  </si>
  <si>
    <t>Day Care</t>
  </si>
  <si>
    <t>Health Facility</t>
  </si>
  <si>
    <t>Retail Space</t>
  </si>
  <si>
    <t>Conference Center</t>
  </si>
  <si>
    <t>To be determined</t>
  </si>
  <si>
    <t>Non chargeable building space</t>
  </si>
  <si>
    <t>Total Available</t>
  </si>
  <si>
    <t>less agencies with specific lease term</t>
  </si>
  <si>
    <t>Net After deduct</t>
  </si>
  <si>
    <t>Fraction of year</t>
  </si>
  <si>
    <t>Net agencies after termination</t>
  </si>
  <si>
    <t>Net payments from tenants toward building</t>
  </si>
  <si>
    <t>Balance</t>
  </si>
  <si>
    <t>Projected Lease Savings</t>
  </si>
  <si>
    <t>Exchange Building</t>
  </si>
  <si>
    <t>DES/Finance</t>
  </si>
  <si>
    <t>Key Tower</t>
  </si>
  <si>
    <t>PAO</t>
  </si>
  <si>
    <t>DES/ITS</t>
  </si>
  <si>
    <t>Bank of California</t>
  </si>
  <si>
    <t>OIRM</t>
  </si>
  <si>
    <t>Bd of Ethics</t>
  </si>
  <si>
    <t>Lynn Trust Building</t>
  </si>
  <si>
    <t>Health Dept/Environment Div</t>
  </si>
  <si>
    <t>Walthew Building</t>
  </si>
  <si>
    <t>DCHS/Public Defense</t>
  </si>
  <si>
    <t>Rent for Retail</t>
  </si>
  <si>
    <t>Rent for Conf Ctr</t>
  </si>
  <si>
    <t>Rent from Daycare</t>
  </si>
  <si>
    <t>Rent from State</t>
  </si>
  <si>
    <t>Ave $/SF</t>
  </si>
  <si>
    <t>Parking Summary</t>
  </si>
  <si>
    <t>(incorporated in summary above)</t>
  </si>
  <si>
    <t>Net Revenues</t>
  </si>
  <si>
    <t>less Debt Service allocation</t>
  </si>
  <si>
    <t>Net after Debt service</t>
  </si>
  <si>
    <t>Children and Family Base</t>
  </si>
  <si>
    <t>CX Base (includes payment of FM Ops)</t>
  </si>
  <si>
    <t>Subtotal Base from previous garage</t>
  </si>
  <si>
    <t>Net reamainder</t>
  </si>
  <si>
    <t>Combined Project</t>
  </si>
  <si>
    <t>A financing Example: (excluding any hot water or steam savings)</t>
  </si>
  <si>
    <t>Sum of 28 years</t>
  </si>
  <si>
    <t>Estimated Costs</t>
  </si>
  <si>
    <t>Base Payment-Alternative B Original</t>
  </si>
  <si>
    <t>Increment Payment-New alternative w features</t>
  </si>
  <si>
    <t>Lease agent payment</t>
  </si>
  <si>
    <t>MMRF Payment Base plus added</t>
  </si>
  <si>
    <t>MMRF Payment Base Added space above</t>
  </si>
  <si>
    <t>Total Expenses</t>
  </si>
  <si>
    <t>Revenues:</t>
  </si>
  <si>
    <t>months of rent</t>
  </si>
  <si>
    <t>Lease Payments Saved</t>
  </si>
  <si>
    <t>Additional leases-additional space included above</t>
  </si>
  <si>
    <t>Payments from Motor Pool for $2M</t>
  </si>
  <si>
    <t>Payments for Parking Contribution and unallocated</t>
  </si>
  <si>
    <t>Utility Savings (more efficient building)</t>
  </si>
  <si>
    <t>Central Hot water Heat net Cash savings</t>
  </si>
  <si>
    <t>Net Revenues Above</t>
  </si>
  <si>
    <t>Annual Difference</t>
  </si>
  <si>
    <t>NPV-28 years</t>
  </si>
  <si>
    <t>Cumulative Annual Difference</t>
  </si>
  <si>
    <t>Initial Balance (6 months revenues)</t>
  </si>
  <si>
    <t>(&lt;==this is 9 months)</t>
  </si>
  <si>
    <t>Rent should be 9 months based on late schedule, 11 otherwise</t>
  </si>
  <si>
    <t>Cumulative Fund Balance</t>
  </si>
  <si>
    <t>Lease Renegotiation Adjustment</t>
  </si>
  <si>
    <t>Annual w/o hot water</t>
  </si>
  <si>
    <t>Net for year</t>
  </si>
  <si>
    <t>Expressed in 2004 $'s</t>
  </si>
  <si>
    <t>Accumulated annual cashflow</t>
  </si>
  <si>
    <t>w/o hot water</t>
  </si>
  <si>
    <t>cumulative</t>
  </si>
  <si>
    <t>Required RSF NN lease rate for breakeven</t>
  </si>
  <si>
    <t>Effective RSF NN achieved w savings</t>
  </si>
  <si>
    <t>Effective RSF NN achieved w savings less reg</t>
  </si>
  <si>
    <t>K average effective (3)-244,379 3 buildings</t>
  </si>
  <si>
    <t>Required RSF NN lease only no rev offsets</t>
  </si>
  <si>
    <t>previous D King proforma ratio</t>
  </si>
  <si>
    <t xml:space="preserve">Garage Only-Scenario with linkage to WR proforma model for parking beginning in 2007 </t>
  </si>
  <si>
    <t>per space</t>
  </si>
  <si>
    <t>Facility Capital Expenses</t>
  </si>
  <si>
    <t>PV per space-net ops income</t>
  </si>
  <si>
    <t>Average parking spaces available</t>
  </si>
  <si>
    <t>Gross Revenues (see proforma)</t>
  </si>
  <si>
    <t>Operating Expenses (netted above)</t>
  </si>
  <si>
    <t>Net Operations Income</t>
  </si>
  <si>
    <t>Net after facility expenses</t>
  </si>
  <si>
    <t>Distributions to Existing Benefitting funds</t>
  </si>
  <si>
    <t>Maintain C&amp;FS</t>
  </si>
  <si>
    <t>Maintain CX</t>
  </si>
  <si>
    <t>Total existing distributions</t>
  </si>
  <si>
    <t>"unallocated balance"</t>
  </si>
  <si>
    <t>NPV at Kinzer 5.5% 25 years</t>
  </si>
  <si>
    <t>KCAC Fraction</t>
  </si>
  <si>
    <t>C&amp;FS at 44%</t>
  </si>
  <si>
    <t>Max or % or indexed amount</t>
  </si>
  <si>
    <t>Change from index</t>
  </si>
  <si>
    <t>Net annual unallocated</t>
  </si>
  <si>
    <t>cumulative annual unallocated</t>
  </si>
  <si>
    <t>% of annual lease</t>
  </si>
  <si>
    <t>Average monthly revenue/space</t>
  </si>
  <si>
    <t>Average monthly expense/space</t>
  </si>
  <si>
    <t>Average montly net income</t>
  </si>
  <si>
    <t>net per space required to net to zero annual allocated</t>
  </si>
  <si>
    <t>net above denominated in year 2004 $'s</t>
  </si>
  <si>
    <t>year 2004 $ equivalent</t>
  </si>
  <si>
    <t xml:space="preserve">Current model assumed market rate </t>
  </si>
  <si>
    <t xml:space="preserve">Current model KC market rate </t>
  </si>
  <si>
    <t>Current assumed overbook rate</t>
  </si>
  <si>
    <t>Amount in excess 50% of lease</t>
  </si>
  <si>
    <t>Excess available</t>
  </si>
  <si>
    <t>Excess available within that year</t>
  </si>
  <si>
    <t>C&amp;FS %</t>
  </si>
  <si>
    <t>CX %</t>
  </si>
  <si>
    <t>Net per space needed vs proforma</t>
  </si>
  <si>
    <t>Building Only</t>
  </si>
  <si>
    <t>NPV (28 years)</t>
  </si>
  <si>
    <t>net lease payments</t>
  </si>
  <si>
    <t>Total Expenses less Garage lease</t>
  </si>
  <si>
    <t>leased payments saved</t>
  </si>
  <si>
    <t>Operating savings</t>
  </si>
  <si>
    <t>Net Revenues (w/o hot water)</t>
  </si>
  <si>
    <t>Net Annual Difference</t>
  </si>
  <si>
    <t>Cumulative annual</t>
  </si>
  <si>
    <t>less lease renegotiation savings-potential</t>
  </si>
  <si>
    <t>net annual</t>
  </si>
  <si>
    <t>Potential Rent savings (deficit)</t>
  </si>
  <si>
    <t>Net Revenues/RSF</t>
  </si>
  <si>
    <t>Net Cost/RSF</t>
  </si>
  <si>
    <t>$2007 equivalent</t>
  </si>
  <si>
    <t>year</t>
  </si>
  <si>
    <t>Total Expenses-Building</t>
  </si>
  <si>
    <t>Total Expenses-Goat Hill Site</t>
  </si>
  <si>
    <t>Total Revenues-Building</t>
  </si>
  <si>
    <t>Total Revenues-Goat Hill Site</t>
  </si>
  <si>
    <t>Total Revenues</t>
  </si>
  <si>
    <t>Annual Net</t>
  </si>
  <si>
    <t>Cumulative Net</t>
  </si>
  <si>
    <t>Net Savings through end of debt service (e.g., 28 years)-Cumulative</t>
  </si>
  <si>
    <t>Annual Savings in year 29 w no debt service</t>
  </si>
  <si>
    <t>NPV for 28 Years-PV of annual difference</t>
  </si>
  <si>
    <t>NPV for 25 Years-PV of annual difference</t>
  </si>
  <si>
    <t>Other revenue detail</t>
  </si>
  <si>
    <t>1916 Boren Street</t>
  </si>
  <si>
    <t>Health Dept</t>
  </si>
  <si>
    <t>Graybar Bldg</t>
  </si>
  <si>
    <t>Print Shop/Surplus Property</t>
  </si>
  <si>
    <t>total leases</t>
  </si>
  <si>
    <t>leases/other</t>
  </si>
  <si>
    <t>Reconciliation of NPV differences between proforma and current</t>
  </si>
  <si>
    <t>Differences from previous</t>
  </si>
  <si>
    <t>28 vs 25 year of cashflows</t>
  </si>
  <si>
    <t>3 added years</t>
  </si>
  <si>
    <t>Hot Water vs Steam</t>
  </si>
  <si>
    <t>net revenue difference</t>
  </si>
  <si>
    <t>Reduction in net cost from proforma</t>
  </si>
  <si>
    <t>Net cost difference including cost of Motor Pool placeholder</t>
  </si>
  <si>
    <t>Debt service for garage addition</t>
  </si>
  <si>
    <t>cost in proforma but payments as revenue</t>
  </si>
  <si>
    <t>27.5 years vs 25 debt service</t>
  </si>
  <si>
    <t>Reduction in annual debt service</t>
  </si>
  <si>
    <t>Sum of differences</t>
  </si>
  <si>
    <t>Old NPV</t>
  </si>
  <si>
    <t>New NPV</t>
  </si>
  <si>
    <t>Difference</t>
  </si>
  <si>
    <t>Potential lease savings</t>
  </si>
  <si>
    <t xml:space="preserve">Total </t>
  </si>
  <si>
    <t>NPV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</si>
</sst>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"/>
    <numFmt numFmtId="167" formatCode="&quot;$&quot;#,##0.0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* #,##0.0000_);_(* \(#,##0.0000\);_(* &quot;-&quot;??_);_(@_)"/>
    <numFmt numFmtId="173" formatCode="#,##0.00000_);[Red]\(#,##0.00000\)"/>
    <numFmt numFmtId="174" formatCode="0_);[Red]\(0\)"/>
    <numFmt numFmtId="175" formatCode="&quot;$&quot;#,##0.0_);[Red]\(&quot;$&quot;#,##0.0\)"/>
    <numFmt numFmtId="176" formatCode="_(* #,##0.0_);_(* \(#,##0.0\);_(* &quot;-&quot;??_);_(@_)"/>
    <numFmt numFmtId="177" formatCode="_(* #,##0.000_);_(* \(#,##0.000\);_(* &quot;-&quot;??_);_(@_)"/>
    <numFmt numFmtId="178" formatCode="_(* #,##0.0_);_(* \(#,##0.0\);_(* &quot;-&quot;?_);_(@_)"/>
    <numFmt numFmtId="179" formatCode="mmmm\ d\,\ yyyy"/>
    <numFmt numFmtId="180" formatCode="&quot;$&quot;#,##0.000"/>
    <numFmt numFmtId="181" formatCode="[$-409]d\-mmm\-yy;@"/>
    <numFmt numFmtId="182" formatCode="0.0000%"/>
    <numFmt numFmtId="183" formatCode="_(* #,##0.000_);_(* \(#,##0.000\);_(* &quot;-&quot;???_);_(@_)"/>
    <numFmt numFmtId="184" formatCode="_(* #,##0.00_);_(* \(#,##0.00\);_(* &quot;-&quot;???_);_(@_)"/>
    <numFmt numFmtId="185" formatCode="_(* #,##0.0_);_(* \(#,##0.0\);_(* &quot;-&quot;???_);_(@_)"/>
    <numFmt numFmtId="186" formatCode="_(* #,##0_);_(* \(#,##0\);_(* &quot;-&quot;???_);_(@_)"/>
    <numFmt numFmtId="187" formatCode="&quot;$&quot;#,##0.0_);\(&quot;$&quot;#,##0.0\)"/>
    <numFmt numFmtId="188" formatCode="_(* #,##0.0000_);_(* \(#,##0.0000\);_(* &quot;-&quot;????_);_(@_)"/>
    <numFmt numFmtId="189" formatCode="&quot;$&quot;#,##0.000_);[Red]\(&quot;$&quot;#,##0.000\)"/>
    <numFmt numFmtId="190" formatCode="&quot;$&quot;#,##0.0000_);[Red]\(&quot;$&quot;#,##0.0000\)"/>
    <numFmt numFmtId="191" formatCode="&quot;$&quot;#,##0.00000_);[Red]\(&quot;$&quot;#,##0.00000\)"/>
    <numFmt numFmtId="192" formatCode="0.000%"/>
    <numFmt numFmtId="193" formatCode="[$€-2]\ #,##0.00_);[Red]\([$€-2]\ #,##0.00\)"/>
    <numFmt numFmtId="194" formatCode="[$-409]dddd\,\ mmmm\ dd\,\ yyyy"/>
    <numFmt numFmtId="195" formatCode="m/d/yy;@"/>
    <numFmt numFmtId="196" formatCode="[$-F800]dddd\,\ mmmm\ dd\,\ yyyy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Times New Roman"/>
      <family val="0"/>
    </font>
    <font>
      <sz val="8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u val="singleAccounting"/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u val="single"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u val="single"/>
      <sz val="18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8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sz val="7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6" fontId="6" fillId="2" borderId="0" xfId="15" applyNumberFormat="1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6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0" xfId="15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6" fontId="5" fillId="2" borderId="0" xfId="0" applyNumberFormat="1" applyFont="1" applyFill="1" applyBorder="1" applyAlignment="1">
      <alignment horizontal="right"/>
    </xf>
    <xf numFmtId="0" fontId="5" fillId="0" borderId="5" xfId="0" applyFont="1" applyBorder="1" applyAlignment="1">
      <alignment/>
    </xf>
    <xf numFmtId="165" fontId="5" fillId="2" borderId="0" xfId="15" applyNumberFormat="1" applyFont="1" applyFill="1" applyBorder="1" applyAlignment="1">
      <alignment horizontal="right"/>
    </xf>
    <xf numFmtId="165" fontId="8" fillId="2" borderId="0" xfId="15" applyNumberFormat="1" applyFont="1" applyFill="1" applyBorder="1" applyAlignment="1">
      <alignment horizontal="right"/>
    </xf>
    <xf numFmtId="0" fontId="9" fillId="0" borderId="5" xfId="0" applyFont="1" applyBorder="1" applyAlignment="1">
      <alignment/>
    </xf>
    <xf numFmtId="6" fontId="4" fillId="0" borderId="0" xfId="0" applyNumberFormat="1" applyFont="1" applyAlignment="1">
      <alignment/>
    </xf>
    <xf numFmtId="8" fontId="8" fillId="2" borderId="0" xfId="0" applyNumberFormat="1" applyFont="1" applyFill="1" applyBorder="1" applyAlignment="1">
      <alignment horizontal="right"/>
    </xf>
    <xf numFmtId="9" fontId="5" fillId="0" borderId="0" xfId="21" applyFont="1" applyAlignment="1">
      <alignment/>
    </xf>
    <xf numFmtId="10" fontId="5" fillId="3" borderId="0" xfId="0" applyNumberFormat="1" applyFont="1" applyFill="1" applyBorder="1" applyAlignment="1">
      <alignment horizontal="right"/>
    </xf>
    <xf numFmtId="43" fontId="10" fillId="0" borderId="0" xfId="15" applyFont="1" applyAlignment="1">
      <alignment/>
    </xf>
    <xf numFmtId="10" fontId="4" fillId="0" borderId="0" xfId="21" applyNumberFormat="1" applyFont="1" applyAlignment="1">
      <alignment/>
    </xf>
    <xf numFmtId="165" fontId="5" fillId="0" borderId="0" xfId="15" applyNumberFormat="1" applyFont="1" applyAlignment="1">
      <alignment/>
    </xf>
    <xf numFmtId="165" fontId="5" fillId="4" borderId="0" xfId="15" applyNumberFormat="1" applyFont="1" applyFill="1" applyBorder="1" applyAlignment="1">
      <alignment horizontal="right"/>
    </xf>
    <xf numFmtId="165" fontId="4" fillId="0" borderId="0" xfId="21" applyNumberFormat="1" applyFont="1" applyAlignment="1">
      <alignment/>
    </xf>
    <xf numFmtId="165" fontId="5" fillId="0" borderId="0" xfId="15" applyNumberFormat="1" applyFont="1" applyFill="1" applyBorder="1" applyAlignment="1">
      <alignment horizontal="right"/>
    </xf>
    <xf numFmtId="165" fontId="5" fillId="0" borderId="5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9" fontId="5" fillId="2" borderId="0" xfId="21" applyFont="1" applyFill="1" applyBorder="1" applyAlignment="1">
      <alignment horizontal="right"/>
    </xf>
    <xf numFmtId="6" fontId="5" fillId="0" borderId="0" xfId="0" applyNumberFormat="1" applyFont="1" applyBorder="1" applyAlignment="1">
      <alignment/>
    </xf>
    <xf numFmtId="0" fontId="11" fillId="0" borderId="4" xfId="0" applyFont="1" applyBorder="1" applyAlignment="1">
      <alignment/>
    </xf>
    <xf numFmtId="6" fontId="11" fillId="0" borderId="0" xfId="0" applyNumberFormat="1" applyFont="1" applyBorder="1" applyAlignment="1">
      <alignment/>
    </xf>
    <xf numFmtId="6" fontId="5" fillId="0" borderId="0" xfId="0" applyNumberFormat="1" applyFont="1" applyAlignment="1">
      <alignment/>
    </xf>
    <xf numFmtId="10" fontId="5" fillId="0" borderId="0" xfId="21" applyNumberFormat="1" applyFont="1" applyBorder="1" applyAlignment="1">
      <alignment/>
    </xf>
    <xf numFmtId="0" fontId="5" fillId="0" borderId="0" xfId="0" applyFont="1" applyBorder="1" applyAlignment="1">
      <alignment/>
    </xf>
    <xf numFmtId="6" fontId="12" fillId="0" borderId="0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6" fontId="13" fillId="0" borderId="0" xfId="0" applyNumberFormat="1" applyFont="1" applyBorder="1" applyAlignment="1">
      <alignment/>
    </xf>
    <xf numFmtId="8" fontId="4" fillId="0" borderId="0" xfId="0" applyNumberFormat="1" applyFont="1" applyAlignment="1">
      <alignment/>
    </xf>
    <xf numFmtId="0" fontId="5" fillId="4" borderId="4" xfId="0" applyFont="1" applyFill="1" applyBorder="1" applyAlignment="1">
      <alignment/>
    </xf>
    <xf numFmtId="6" fontId="12" fillId="4" borderId="0" xfId="0" applyNumberFormat="1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4" borderId="0" xfId="0" applyFont="1" applyFill="1" applyAlignment="1">
      <alignment/>
    </xf>
    <xf numFmtId="165" fontId="5" fillId="0" borderId="0" xfId="15" applyNumberFormat="1" applyFont="1" applyBorder="1" applyAlignment="1">
      <alignment/>
    </xf>
    <xf numFmtId="10" fontId="12" fillId="0" borderId="0" xfId="21" applyNumberFormat="1" applyFont="1" applyBorder="1" applyAlignment="1">
      <alignment/>
    </xf>
    <xf numFmtId="9" fontId="5" fillId="0" borderId="4" xfId="21" applyFont="1" applyBorder="1" applyAlignment="1">
      <alignment/>
    </xf>
    <xf numFmtId="9" fontId="6" fillId="0" borderId="6" xfId="2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4" xfId="0" applyFont="1" applyBorder="1" applyAlignment="1">
      <alignment/>
    </xf>
    <xf numFmtId="164" fontId="5" fillId="0" borderId="5" xfId="15" applyNumberFormat="1" applyFont="1" applyBorder="1" applyAlignment="1">
      <alignment/>
    </xf>
    <xf numFmtId="0" fontId="14" fillId="0" borderId="4" xfId="0" applyFont="1" applyBorder="1" applyAlignment="1">
      <alignment horizontal="right"/>
    </xf>
    <xf numFmtId="165" fontId="12" fillId="0" borderId="0" xfId="0" applyNumberFormat="1" applyFont="1" applyBorder="1" applyAlignment="1">
      <alignment/>
    </xf>
    <xf numFmtId="44" fontId="5" fillId="0" borderId="0" xfId="17" applyFont="1" applyAlignment="1">
      <alignment/>
    </xf>
    <xf numFmtId="44" fontId="5" fillId="0" borderId="0" xfId="0" applyNumberFormat="1" applyFont="1" applyAlignment="1">
      <alignment/>
    </xf>
    <xf numFmtId="0" fontId="7" fillId="0" borderId="6" xfId="0" applyFont="1" applyBorder="1" applyAlignment="1">
      <alignment/>
    </xf>
    <xf numFmtId="9" fontId="5" fillId="0" borderId="7" xfId="21" applyFont="1" applyBorder="1" applyAlignment="1">
      <alignment/>
    </xf>
    <xf numFmtId="165" fontId="14" fillId="0" borderId="0" xfId="15" applyNumberFormat="1" applyFont="1" applyAlignment="1">
      <alignment/>
    </xf>
    <xf numFmtId="165" fontId="15" fillId="0" borderId="0" xfId="15" applyNumberFormat="1" applyFont="1" applyAlignment="1">
      <alignment/>
    </xf>
    <xf numFmtId="165" fontId="12" fillId="0" borderId="0" xfId="15" applyNumberFormat="1" applyFont="1" applyAlignment="1">
      <alignment/>
    </xf>
    <xf numFmtId="165" fontId="12" fillId="0" borderId="0" xfId="15" applyNumberFormat="1" applyFont="1" applyAlignment="1">
      <alignment/>
    </xf>
    <xf numFmtId="0" fontId="0" fillId="0" borderId="1" xfId="0" applyBorder="1" applyAlignment="1">
      <alignment/>
    </xf>
    <xf numFmtId="9" fontId="16" fillId="2" borderId="2" xfId="21" applyFont="1" applyFill="1" applyBorder="1" applyAlignment="1">
      <alignment horizontal="left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0" borderId="4" xfId="0" applyBorder="1" applyAlignment="1">
      <alignment/>
    </xf>
    <xf numFmtId="9" fontId="5" fillId="2" borderId="0" xfId="2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65" fontId="5" fillId="2" borderId="0" xfId="15" applyNumberFormat="1" applyFont="1" applyFill="1" applyBorder="1" applyAlignment="1">
      <alignment/>
    </xf>
    <xf numFmtId="165" fontId="5" fillId="2" borderId="0" xfId="15" applyNumberFormat="1" applyFont="1" applyFill="1" applyBorder="1" applyAlignment="1">
      <alignment/>
    </xf>
    <xf numFmtId="165" fontId="5" fillId="2" borderId="5" xfId="15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5" xfId="0" applyFont="1" applyFill="1" applyBorder="1" applyAlignment="1">
      <alignment/>
    </xf>
    <xf numFmtId="9" fontId="18" fillId="2" borderId="0" xfId="21" applyFont="1" applyFill="1" applyBorder="1" applyAlignment="1">
      <alignment/>
    </xf>
    <xf numFmtId="0" fontId="5" fillId="2" borderId="5" xfId="0" applyFont="1" applyFill="1" applyBorder="1" applyAlignment="1">
      <alignment/>
    </xf>
    <xf numFmtId="6" fontId="15" fillId="5" borderId="4" xfId="0" applyNumberFormat="1" applyFont="1" applyFill="1" applyBorder="1" applyAlignment="1">
      <alignment/>
    </xf>
    <xf numFmtId="165" fontId="5" fillId="4" borderId="0" xfId="0" applyNumberFormat="1" applyFon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165" fontId="5" fillId="2" borderId="5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165" fontId="5" fillId="6" borderId="0" xfId="0" applyNumberFormat="1" applyFont="1" applyFill="1" applyBorder="1" applyAlignment="1">
      <alignment/>
    </xf>
    <xf numFmtId="165" fontId="5" fillId="6" borderId="5" xfId="0" applyNumberFormat="1" applyFont="1" applyFill="1" applyBorder="1" applyAlignment="1">
      <alignment/>
    </xf>
    <xf numFmtId="9" fontId="12" fillId="2" borderId="0" xfId="21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/>
    </xf>
    <xf numFmtId="165" fontId="12" fillId="2" borderId="5" xfId="0" applyNumberFormat="1" applyFont="1" applyFill="1" applyBorder="1" applyAlignment="1">
      <alignment/>
    </xf>
    <xf numFmtId="165" fontId="12" fillId="7" borderId="9" xfId="0" applyNumberFormat="1" applyFont="1" applyFill="1" applyBorder="1" applyAlignment="1">
      <alignment/>
    </xf>
    <xf numFmtId="0" fontId="19" fillId="0" borderId="4" xfId="0" applyFont="1" applyBorder="1" applyAlignment="1">
      <alignment/>
    </xf>
    <xf numFmtId="164" fontId="20" fillId="0" borderId="4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17" fillId="2" borderId="5" xfId="0" applyFont="1" applyFill="1" applyBorder="1" applyAlignment="1">
      <alignment/>
    </xf>
    <xf numFmtId="0" fontId="7" fillId="0" borderId="1" xfId="0" applyFont="1" applyBorder="1" applyAlignment="1">
      <alignment/>
    </xf>
    <xf numFmtId="0" fontId="14" fillId="0" borderId="2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181" fontId="15" fillId="4" borderId="2" xfId="0" applyNumberFormat="1" applyFont="1" applyFill="1" applyBorder="1" applyAlignment="1">
      <alignment/>
    </xf>
    <xf numFmtId="181" fontId="5" fillId="0" borderId="2" xfId="15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21" fillId="0" borderId="0" xfId="0" applyFont="1" applyBorder="1" applyAlignment="1">
      <alignment/>
    </xf>
    <xf numFmtId="9" fontId="5" fillId="0" borderId="0" xfId="21" applyFont="1" applyBorder="1" applyAlignment="1">
      <alignment/>
    </xf>
    <xf numFmtId="165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5" xfId="0" applyFont="1" applyBorder="1" applyAlignment="1">
      <alignment/>
    </xf>
    <xf numFmtId="8" fontId="7" fillId="4" borderId="4" xfId="0" applyNumberFormat="1" applyFont="1" applyFill="1" applyBorder="1" applyAlignment="1">
      <alignment/>
    </xf>
    <xf numFmtId="181" fontId="7" fillId="0" borderId="0" xfId="0" applyNumberFormat="1" applyFont="1" applyBorder="1" applyAlignment="1">
      <alignment/>
    </xf>
    <xf numFmtId="181" fontId="7" fillId="0" borderId="4" xfId="0" applyNumberFormat="1" applyFont="1" applyBorder="1" applyAlignment="1">
      <alignment/>
    </xf>
    <xf numFmtId="0" fontId="4" fillId="0" borderId="1" xfId="0" applyFont="1" applyBorder="1" applyAlignment="1">
      <alignment/>
    </xf>
    <xf numFmtId="165" fontId="5" fillId="0" borderId="2" xfId="15" applyNumberFormat="1" applyFont="1" applyBorder="1" applyAlignment="1">
      <alignment/>
    </xf>
    <xf numFmtId="165" fontId="5" fillId="4" borderId="3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165" fontId="5" fillId="4" borderId="5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165" fontId="5" fillId="0" borderId="7" xfId="15" applyNumberFormat="1" applyFont="1" applyBorder="1" applyAlignment="1">
      <alignment/>
    </xf>
    <xf numFmtId="165" fontId="5" fillId="4" borderId="8" xfId="0" applyNumberFormat="1" applyFont="1" applyFill="1" applyBorder="1" applyAlignment="1">
      <alignment/>
    </xf>
    <xf numFmtId="8" fontId="8" fillId="2" borderId="4" xfId="0" applyNumberFormat="1" applyFont="1" applyFill="1" applyBorder="1" applyAlignment="1">
      <alignment/>
    </xf>
    <xf numFmtId="165" fontId="5" fillId="0" borderId="5" xfId="15" applyNumberFormat="1" applyFont="1" applyBorder="1" applyAlignment="1">
      <alignment/>
    </xf>
    <xf numFmtId="165" fontId="5" fillId="4" borderId="0" xfId="15" applyNumberFormat="1" applyFont="1" applyFill="1" applyBorder="1" applyAlignment="1">
      <alignment/>
    </xf>
    <xf numFmtId="165" fontId="5" fillId="0" borderId="7" xfId="0" applyNumberFormat="1" applyFont="1" applyBorder="1" applyAlignment="1">
      <alignment/>
    </xf>
    <xf numFmtId="165" fontId="10" fillId="2" borderId="0" xfId="0" applyNumberFormat="1" applyFont="1" applyFill="1" applyBorder="1" applyAlignment="1">
      <alignment/>
    </xf>
    <xf numFmtId="165" fontId="12" fillId="7" borderId="0" xfId="21" applyNumberFormat="1" applyFont="1" applyFill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4" fillId="0" borderId="7" xfId="0" applyFont="1" applyBorder="1" applyAlignment="1">
      <alignment/>
    </xf>
    <xf numFmtId="165" fontId="5" fillId="0" borderId="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165" fontId="7" fillId="0" borderId="0" xfId="15" applyNumberFormat="1" applyFont="1" applyBorder="1" applyAlignment="1">
      <alignment/>
    </xf>
    <xf numFmtId="6" fontId="5" fillId="0" borderId="5" xfId="0" applyNumberFormat="1" applyFont="1" applyBorder="1" applyAlignment="1">
      <alignment/>
    </xf>
    <xf numFmtId="165" fontId="7" fillId="0" borderId="0" xfId="15" applyNumberFormat="1" applyFont="1" applyBorder="1" applyAlignment="1">
      <alignment horizontal="center"/>
    </xf>
    <xf numFmtId="165" fontId="5" fillId="0" borderId="0" xfId="21" applyNumberFormat="1" applyFont="1" applyBorder="1" applyAlignment="1">
      <alignment/>
    </xf>
    <xf numFmtId="8" fontId="5" fillId="0" borderId="0" xfId="0" applyNumberFormat="1" applyFont="1" applyBorder="1" applyAlignment="1">
      <alignment/>
    </xf>
    <xf numFmtId="8" fontId="5" fillId="0" borderId="5" xfId="0" applyNumberFormat="1" applyFont="1" applyBorder="1" applyAlignment="1">
      <alignment/>
    </xf>
    <xf numFmtId="9" fontId="23" fillId="0" borderId="0" xfId="21" applyFont="1" applyBorder="1" applyAlignment="1">
      <alignment/>
    </xf>
    <xf numFmtId="165" fontId="12" fillId="0" borderId="5" xfId="0" applyNumberFormat="1" applyFont="1" applyBorder="1" applyAlignment="1">
      <alignment/>
    </xf>
    <xf numFmtId="9" fontId="12" fillId="0" borderId="7" xfId="21" applyFont="1" applyBorder="1" applyAlignment="1">
      <alignment/>
    </xf>
    <xf numFmtId="165" fontId="12" fillId="0" borderId="7" xfId="0" applyNumberFormat="1" applyFont="1" applyBorder="1" applyAlignment="1">
      <alignment/>
    </xf>
    <xf numFmtId="165" fontId="12" fillId="0" borderId="8" xfId="0" applyNumberFormat="1" applyFont="1" applyBorder="1" applyAlignment="1">
      <alignment/>
    </xf>
    <xf numFmtId="9" fontId="6" fillId="0" borderId="0" xfId="21" applyFont="1" applyAlignment="1">
      <alignment/>
    </xf>
    <xf numFmtId="0" fontId="12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7" fillId="0" borderId="0" xfId="0" applyNumberFormat="1" applyFont="1" applyAlignment="1">
      <alignment/>
    </xf>
    <xf numFmtId="6" fontId="15" fillId="5" borderId="0" xfId="0" applyNumberFormat="1" applyFont="1" applyFill="1" applyAlignment="1">
      <alignment/>
    </xf>
    <xf numFmtId="165" fontId="5" fillId="4" borderId="0" xfId="15" applyNumberFormat="1" applyFont="1" applyFill="1" applyAlignment="1">
      <alignment/>
    </xf>
    <xf numFmtId="165" fontId="5" fillId="4" borderId="0" xfId="15" applyNumberFormat="1" applyFont="1" applyFill="1" applyAlignment="1">
      <alignment/>
    </xf>
    <xf numFmtId="165" fontId="5" fillId="0" borderId="0" xfId="0" applyNumberFormat="1" applyFont="1" applyAlignment="1">
      <alignment/>
    </xf>
    <xf numFmtId="0" fontId="5" fillId="2" borderId="0" xfId="0" applyFont="1" applyFill="1" applyAlignment="1">
      <alignment horizontal="left"/>
    </xf>
    <xf numFmtId="165" fontId="5" fillId="6" borderId="0" xfId="15" applyNumberFormat="1" applyFont="1" applyFill="1" applyAlignment="1">
      <alignment/>
    </xf>
    <xf numFmtId="43" fontId="7" fillId="0" borderId="0" xfId="15" applyFont="1" applyAlignment="1">
      <alignment/>
    </xf>
    <xf numFmtId="0" fontId="14" fillId="0" borderId="0" xfId="0" applyFont="1" applyAlignment="1">
      <alignment/>
    </xf>
    <xf numFmtId="165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6" fontId="15" fillId="0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6" fontId="24" fillId="0" borderId="0" xfId="0" applyNumberFormat="1" applyFont="1" applyFill="1" applyAlignment="1">
      <alignment/>
    </xf>
    <xf numFmtId="0" fontId="12" fillId="0" borderId="0" xfId="0" applyFont="1" applyAlignment="1">
      <alignment horizontal="right"/>
    </xf>
    <xf numFmtId="0" fontId="8" fillId="0" borderId="0" xfId="0" applyFont="1" applyAlignment="1">
      <alignment/>
    </xf>
    <xf numFmtId="6" fontId="1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165" fontId="25" fillId="0" borderId="0" xfId="0" applyNumberFormat="1" applyFont="1" applyAlignment="1">
      <alignment/>
    </xf>
    <xf numFmtId="165" fontId="25" fillId="0" borderId="0" xfId="0" applyNumberFormat="1" applyFont="1" applyFill="1" applyBorder="1" applyAlignment="1">
      <alignment/>
    </xf>
    <xf numFmtId="165" fontId="25" fillId="0" borderId="0" xfId="0" applyNumberFormat="1" applyFont="1" applyFill="1" applyAlignment="1">
      <alignment/>
    </xf>
    <xf numFmtId="165" fontId="25" fillId="0" borderId="0" xfId="0" applyNumberFormat="1" applyFont="1" applyFill="1" applyAlignment="1">
      <alignment/>
    </xf>
    <xf numFmtId="165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165" fontId="5" fillId="6" borderId="0" xfId="0" applyNumberFormat="1" applyFont="1" applyFill="1" applyAlignment="1">
      <alignment/>
    </xf>
    <xf numFmtId="165" fontId="12" fillId="5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5" fillId="5" borderId="0" xfId="0" applyFont="1" applyFill="1" applyAlignment="1">
      <alignment horizontal="right"/>
    </xf>
    <xf numFmtId="165" fontId="5" fillId="5" borderId="0" xfId="0" applyNumberFormat="1" applyFont="1" applyFill="1" applyAlignment="1">
      <alignment/>
    </xf>
    <xf numFmtId="6" fontId="15" fillId="2" borderId="0" xfId="0" applyNumberFormat="1" applyFont="1" applyFill="1" applyAlignment="1">
      <alignment/>
    </xf>
    <xf numFmtId="165" fontId="12" fillId="0" borderId="9" xfId="0" applyNumberFormat="1" applyFont="1" applyBorder="1" applyAlignment="1">
      <alignment/>
    </xf>
    <xf numFmtId="0" fontId="5" fillId="0" borderId="0" xfId="0" applyFont="1" applyAlignment="1">
      <alignment horizontal="left"/>
    </xf>
    <xf numFmtId="167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8" fontId="6" fillId="0" borderId="0" xfId="0" applyNumberFormat="1" applyFont="1" applyAlignment="1">
      <alignment/>
    </xf>
    <xf numFmtId="8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165" fontId="7" fillId="0" borderId="0" xfId="0" applyNumberFormat="1" applyFont="1" applyAlignment="1">
      <alignment/>
    </xf>
    <xf numFmtId="0" fontId="4" fillId="8" borderId="0" xfId="0" applyFont="1" applyFill="1" applyAlignment="1">
      <alignment/>
    </xf>
    <xf numFmtId="0" fontId="5" fillId="8" borderId="0" xfId="0" applyFont="1" applyFill="1" applyAlignment="1">
      <alignment/>
    </xf>
    <xf numFmtId="10" fontId="12" fillId="8" borderId="0" xfId="21" applyNumberFormat="1" applyFont="1" applyFill="1" applyAlignment="1">
      <alignment/>
    </xf>
    <xf numFmtId="0" fontId="5" fillId="8" borderId="0" xfId="0" applyFont="1" applyFill="1" applyAlignment="1">
      <alignment/>
    </xf>
    <xf numFmtId="0" fontId="7" fillId="8" borderId="0" xfId="0" applyFont="1" applyFill="1" applyAlignment="1">
      <alignment/>
    </xf>
    <xf numFmtId="165" fontId="5" fillId="8" borderId="0" xfId="15" applyNumberFormat="1" applyFont="1" applyFill="1" applyAlignment="1">
      <alignment/>
    </xf>
    <xf numFmtId="8" fontId="15" fillId="8" borderId="0" xfId="0" applyNumberFormat="1" applyFont="1" applyFill="1" applyAlignment="1">
      <alignment/>
    </xf>
    <xf numFmtId="165" fontId="5" fillId="8" borderId="0" xfId="0" applyNumberFormat="1" applyFont="1" applyFill="1" applyAlignment="1">
      <alignment/>
    </xf>
    <xf numFmtId="165" fontId="5" fillId="8" borderId="0" xfId="0" applyNumberFormat="1" applyFont="1" applyFill="1" applyAlignment="1">
      <alignment/>
    </xf>
    <xf numFmtId="0" fontId="14" fillId="0" borderId="0" xfId="0" applyFont="1" applyAlignment="1">
      <alignment/>
    </xf>
    <xf numFmtId="6" fontId="15" fillId="5" borderId="9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6" fontId="15" fillId="5" borderId="10" xfId="0" applyNumberFormat="1" applyFont="1" applyFill="1" applyBorder="1" applyAlignment="1">
      <alignment/>
    </xf>
    <xf numFmtId="6" fontId="15" fillId="5" borderId="0" xfId="0" applyNumberFormat="1" applyFont="1" applyFill="1" applyBorder="1" applyAlignment="1">
      <alignment/>
    </xf>
    <xf numFmtId="0" fontId="14" fillId="0" borderId="0" xfId="0" applyFont="1" applyAlignment="1" quotePrefix="1">
      <alignment/>
    </xf>
    <xf numFmtId="6" fontId="15" fillId="0" borderId="0" xfId="0" applyNumberFormat="1" applyFont="1" applyFill="1" applyBorder="1" applyAlignment="1">
      <alignment/>
    </xf>
    <xf numFmtId="6" fontId="15" fillId="6" borderId="11" xfId="0" applyNumberFormat="1" applyFont="1" applyFill="1" applyBorder="1" applyAlignment="1">
      <alignment/>
    </xf>
    <xf numFmtId="6" fontId="15" fillId="6" borderId="0" xfId="0" applyNumberFormat="1" applyFont="1" applyFill="1" applyBorder="1" applyAlignment="1">
      <alignment/>
    </xf>
    <xf numFmtId="10" fontId="15" fillId="5" borderId="0" xfId="21" applyNumberFormat="1" applyFont="1" applyFill="1" applyBorder="1" applyAlignment="1">
      <alignment/>
    </xf>
    <xf numFmtId="9" fontId="15" fillId="0" borderId="0" xfId="21" applyFont="1" applyFill="1" applyAlignment="1">
      <alignment/>
    </xf>
    <xf numFmtId="6" fontId="15" fillId="2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8" fontId="5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9" fontId="4" fillId="0" borderId="0" xfId="21" applyFont="1" applyAlignment="1">
      <alignment/>
    </xf>
    <xf numFmtId="9" fontId="25" fillId="0" borderId="0" xfId="21" applyFont="1" applyAlignment="1">
      <alignment/>
    </xf>
    <xf numFmtId="9" fontId="25" fillId="0" borderId="0" xfId="21" applyFont="1" applyAlignment="1">
      <alignment/>
    </xf>
    <xf numFmtId="0" fontId="4" fillId="9" borderId="0" xfId="0" applyFont="1" applyFill="1" applyAlignment="1">
      <alignment/>
    </xf>
    <xf numFmtId="0" fontId="7" fillId="9" borderId="0" xfId="0" applyFont="1" applyFill="1" applyAlignment="1">
      <alignment/>
    </xf>
    <xf numFmtId="8" fontId="5" fillId="9" borderId="0" xfId="0" applyNumberFormat="1" applyFont="1" applyFill="1" applyAlignment="1">
      <alignment/>
    </xf>
    <xf numFmtId="0" fontId="5" fillId="9" borderId="0" xfId="0" applyFont="1" applyFill="1" applyAlignment="1">
      <alignment/>
    </xf>
    <xf numFmtId="0" fontId="5" fillId="9" borderId="0" xfId="0" applyFont="1" applyFill="1" applyAlignment="1">
      <alignment/>
    </xf>
    <xf numFmtId="0" fontId="7" fillId="9" borderId="0" xfId="0" applyFont="1" applyFill="1" applyAlignment="1">
      <alignment/>
    </xf>
    <xf numFmtId="0" fontId="6" fillId="0" borderId="0" xfId="0" applyFont="1" applyAlignment="1">
      <alignment/>
    </xf>
    <xf numFmtId="8" fontId="12" fillId="0" borderId="0" xfId="0" applyNumberFormat="1" applyFont="1" applyAlignment="1">
      <alignment/>
    </xf>
    <xf numFmtId="8" fontId="1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5" fillId="5" borderId="0" xfId="0" applyFont="1" applyFill="1" applyAlignment="1">
      <alignment horizontal="right"/>
    </xf>
    <xf numFmtId="8" fontId="12" fillId="5" borderId="0" xfId="0" applyNumberFormat="1" applyFont="1" applyFill="1" applyAlignment="1">
      <alignment/>
    </xf>
    <xf numFmtId="167" fontId="12" fillId="0" borderId="0" xfId="0" applyNumberFormat="1" applyFont="1" applyAlignment="1">
      <alignment/>
    </xf>
    <xf numFmtId="8" fontId="15" fillId="5" borderId="0" xfId="0" applyNumberFormat="1" applyFont="1" applyFill="1" applyAlignment="1">
      <alignment/>
    </xf>
    <xf numFmtId="167" fontId="12" fillId="0" borderId="0" xfId="0" applyNumberFormat="1" applyFont="1" applyAlignment="1">
      <alignment/>
    </xf>
    <xf numFmtId="167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6" fontId="5" fillId="0" borderId="0" xfId="0" applyNumberFormat="1" applyFont="1" applyAlignment="1">
      <alignment/>
    </xf>
    <xf numFmtId="38" fontId="12" fillId="6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65" fontId="5" fillId="0" borderId="0" xfId="15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15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8" fontId="12" fillId="6" borderId="0" xfId="0" applyNumberFormat="1" applyFont="1" applyFill="1" applyBorder="1" applyAlignment="1">
      <alignment horizontal="right"/>
    </xf>
    <xf numFmtId="165" fontId="12" fillId="0" borderId="0" xfId="15" applyNumberFormat="1" applyFont="1" applyBorder="1" applyAlignment="1">
      <alignment/>
    </xf>
    <xf numFmtId="164" fontId="12" fillId="6" borderId="0" xfId="0" applyNumberFormat="1" applyFont="1" applyFill="1" applyBorder="1" applyAlignment="1">
      <alignment/>
    </xf>
    <xf numFmtId="38" fontId="5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7" fillId="0" borderId="0" xfId="15" applyNumberFormat="1" applyFont="1" applyAlignment="1">
      <alignment/>
    </xf>
    <xf numFmtId="165" fontId="0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Annual%20Budgets\2007%20Budget\PJ's%20Files\Revised%20NCOB%20Proforma%2011.0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m\sys1\Documents%20and%20Settings\Robert%20Williams\Local%20Settings\Temporary%20Internet%20Files\OLK4\Net%20cashflow%20and%20savings%20as%20of%206(1).4.2004%20revised%203rd%20ti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m\sys1\Documents%20and%20Settings\Robert%20Williams\Local%20Settings\Temporary%20Internet%20Files\Content.IE5\QPUXSJGN\KC%20New%20Building%20Proforma%20Budget%201.29.2004%20financing1%20as%20of%205.25.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 termination costs"/>
      <sheetName val="Revised Proforma Nov 2006"/>
      <sheetName val="Parking Revised est 10.30"/>
      <sheetName val="Original Adopted Proforma"/>
      <sheetName val="Worksheet from Kamma"/>
      <sheetName val="Sheet1"/>
      <sheetName val="Lease Space Summary"/>
      <sheetName val="Lease Space vacated and rents"/>
      <sheetName val="Current financing worksheet"/>
      <sheetName val="Proviso Summary"/>
      <sheetName val="Cindy cost detail 12.28.2004"/>
      <sheetName val="KC format"/>
      <sheetName val="revised FAR Jan 2005"/>
      <sheetName val="Lehman Financing Scenarios"/>
      <sheetName val="summary of alts"/>
      <sheetName val="rent proforma"/>
      <sheetName val="WR Parking Model"/>
      <sheetName val="C&amp;FS alternatives"/>
      <sheetName val="Cindy cost detail 9.1.2004"/>
      <sheetName val="Cindy 9.1 Add boiler and tunnel"/>
      <sheetName val="Orcas ITS costs"/>
      <sheetName val="Repair Shop"/>
      <sheetName val="Summary of Repair Shop Alts"/>
      <sheetName val="Orcas Building Clarissa 10.4"/>
      <sheetName val="MP Worksheets"/>
      <sheetName val="Parking Count and alternatives"/>
      <sheetName val="Construction cost alts"/>
      <sheetName val="Space sheet"/>
      <sheetName val="Kinzer format timing alts"/>
      <sheetName val="Kinzer apples to apples"/>
      <sheetName val="KC Summary worksheet"/>
      <sheetName val="King County Costs"/>
      <sheetName val="Preliminary Base Costs of issue"/>
      <sheetName val="Kinzer Info"/>
      <sheetName val="Escalating Capital Equivalent"/>
      <sheetName val="Current Parking Net"/>
      <sheetName val="Parking Information"/>
      <sheetName val="WR Upfront Costs"/>
      <sheetName val="Parking worksheet to Sid"/>
      <sheetName val="WR format and  current numbers"/>
      <sheetName val="Summary comparison on financing"/>
      <sheetName val="Financing Proforma info"/>
      <sheetName val="Alternatives summary"/>
      <sheetName val="Previous Financing Summary"/>
      <sheetName val="Early costs in 2004"/>
      <sheetName val="Footnotes to WR format lines"/>
      <sheetName val="Sheet2"/>
      <sheetName val="Cindy worksheet 6.10"/>
      <sheetName val="Sheet3"/>
      <sheetName val="Clarissa 3rd Qtr report"/>
    </sheetNames>
    <sheetDataSet>
      <sheetData sheetId="0">
        <row r="32">
          <cell r="M32">
            <v>193050.8378333334</v>
          </cell>
        </row>
      </sheetData>
      <sheetData sheetId="2">
        <row r="27">
          <cell r="J27">
            <v>862</v>
          </cell>
          <cell r="K27">
            <v>911</v>
          </cell>
        </row>
        <row r="38">
          <cell r="N38">
            <v>2113810</v>
          </cell>
          <cell r="P38">
            <v>2475568.789</v>
          </cell>
        </row>
      </sheetData>
      <sheetData sheetId="3">
        <row r="162">
          <cell r="E162">
            <v>2007</v>
          </cell>
          <cell r="F162">
            <v>2008</v>
          </cell>
          <cell r="G162">
            <v>2009</v>
          </cell>
          <cell r="H162">
            <v>2010</v>
          </cell>
          <cell r="I162">
            <v>2011</v>
          </cell>
          <cell r="J162">
            <v>2012</v>
          </cell>
          <cell r="K162">
            <v>2013</v>
          </cell>
          <cell r="L162">
            <v>2014</v>
          </cell>
          <cell r="M162">
            <v>2015</v>
          </cell>
          <cell r="N162">
            <v>2016</v>
          </cell>
          <cell r="O162">
            <v>2017</v>
          </cell>
          <cell r="P162">
            <v>2018</v>
          </cell>
          <cell r="Q162">
            <v>2019</v>
          </cell>
          <cell r="R162">
            <v>2020</v>
          </cell>
          <cell r="S162">
            <v>2021</v>
          </cell>
          <cell r="T162">
            <v>2022</v>
          </cell>
          <cell r="U162">
            <v>2023</v>
          </cell>
          <cell r="V162">
            <v>2024</v>
          </cell>
          <cell r="W162">
            <v>2025</v>
          </cell>
          <cell r="X162">
            <v>2026</v>
          </cell>
          <cell r="Y162">
            <v>2027</v>
          </cell>
          <cell r="Z162">
            <v>2028</v>
          </cell>
          <cell r="AA162">
            <v>2029</v>
          </cell>
          <cell r="AB162">
            <v>2030</v>
          </cell>
          <cell r="AC162">
            <v>2031</v>
          </cell>
          <cell r="AD162">
            <v>2032</v>
          </cell>
          <cell r="AE162">
            <v>2033</v>
          </cell>
          <cell r="AF162">
            <v>2034</v>
          </cell>
          <cell r="AG162">
            <v>2035</v>
          </cell>
          <cell r="AH162">
            <v>2036</v>
          </cell>
        </row>
      </sheetData>
      <sheetData sheetId="4">
        <row r="3">
          <cell r="L3">
            <v>1477699.85</v>
          </cell>
        </row>
        <row r="4">
          <cell r="L4">
            <v>690697.9800000001</v>
          </cell>
        </row>
        <row r="5">
          <cell r="L5">
            <v>68409.56</v>
          </cell>
        </row>
        <row r="6">
          <cell r="L6">
            <v>981705.6</v>
          </cell>
        </row>
        <row r="7">
          <cell r="L7">
            <v>104468.76000000001</v>
          </cell>
        </row>
        <row r="8">
          <cell r="L8">
            <v>603120.96</v>
          </cell>
        </row>
        <row r="9">
          <cell r="L9">
            <v>370233.16</v>
          </cell>
        </row>
        <row r="10">
          <cell r="L10">
            <v>6665</v>
          </cell>
        </row>
        <row r="11">
          <cell r="L11">
            <v>68358.24</v>
          </cell>
        </row>
        <row r="12">
          <cell r="L12">
            <v>33152</v>
          </cell>
        </row>
      </sheetData>
      <sheetData sheetId="6">
        <row r="5">
          <cell r="I5">
            <v>829629.51</v>
          </cell>
          <cell r="J5">
            <v>854518.3953</v>
          </cell>
          <cell r="K5">
            <v>880153.947159</v>
          </cell>
          <cell r="L5">
            <v>906558.56557377</v>
          </cell>
          <cell r="M5">
            <v>933755.3225409831</v>
          </cell>
          <cell r="N5">
            <v>961767.9822172126</v>
          </cell>
          <cell r="O5">
            <v>990621.0216837289</v>
          </cell>
          <cell r="P5">
            <v>1020339.6523342408</v>
          </cell>
          <cell r="Q5">
            <v>1050949.8419042681</v>
          </cell>
          <cell r="R5">
            <v>1082478.3371613962</v>
          </cell>
          <cell r="S5">
            <v>1114952.687276238</v>
          </cell>
          <cell r="T5">
            <v>1148401.2678945253</v>
          </cell>
          <cell r="U5">
            <v>1182853.3059313612</v>
          </cell>
          <cell r="V5">
            <v>1218338.9051093021</v>
          </cell>
          <cell r="W5">
            <v>1254889.0722625812</v>
          </cell>
          <cell r="X5">
            <v>1292535.7444304586</v>
          </cell>
          <cell r="Y5">
            <v>1331311.8167633724</v>
          </cell>
          <cell r="Z5">
            <v>1371251.1712662736</v>
          </cell>
          <cell r="AA5">
            <v>1412388.7064042618</v>
          </cell>
          <cell r="AB5">
            <v>1454760.3675963897</v>
          </cell>
          <cell r="AC5">
            <v>1498403.1786242814</v>
          </cell>
          <cell r="AD5">
            <v>1543355.2739830099</v>
          </cell>
          <cell r="AE5">
            <v>1589655.9322025003</v>
          </cell>
          <cell r="AF5">
            <v>1637345.6101685753</v>
          </cell>
          <cell r="AG5">
            <v>1686465.9784736326</v>
          </cell>
          <cell r="AH5">
            <v>1737059.9578278416</v>
          </cell>
          <cell r="AI5">
            <v>1789171.756562677</v>
          </cell>
          <cell r="AJ5">
            <v>1842846.9092595573</v>
          </cell>
          <cell r="AK5">
            <v>1898132.3165373441</v>
          </cell>
          <cell r="AL5">
            <v>1955076.2860334646</v>
          </cell>
          <cell r="AM5">
            <v>2013728.5746144685</v>
          </cell>
        </row>
        <row r="6">
          <cell r="I6">
            <v>982088.06</v>
          </cell>
          <cell r="J6">
            <v>1011550.7017999999</v>
          </cell>
          <cell r="K6">
            <v>1041897.2228539999</v>
          </cell>
          <cell r="L6">
            <v>1073154.13953962</v>
          </cell>
          <cell r="M6">
            <v>1105348.7637258086</v>
          </cell>
          <cell r="N6">
            <v>1138509.2266375828</v>
          </cell>
          <cell r="O6">
            <v>1172664.5034367102</v>
          </cell>
          <cell r="P6">
            <v>1207844.4385398116</v>
          </cell>
          <cell r="Q6">
            <v>1244079.771696006</v>
          </cell>
          <cell r="R6">
            <v>1281402.1648468862</v>
          </cell>
          <cell r="S6">
            <v>1319844.2297922927</v>
          </cell>
          <cell r="T6">
            <v>1359439.5566860614</v>
          </cell>
          <cell r="U6">
            <v>1400222.7433866432</v>
          </cell>
          <cell r="V6">
            <v>1442229.4256882425</v>
          </cell>
          <cell r="W6">
            <v>1485496.3084588898</v>
          </cell>
          <cell r="X6">
            <v>1530061.1977126566</v>
          </cell>
          <cell r="Y6">
            <v>1575963.0336440364</v>
          </cell>
          <cell r="Z6">
            <v>1623241.9246533576</v>
          </cell>
          <cell r="AA6">
            <v>1671939.1823929583</v>
          </cell>
          <cell r="AB6">
            <v>1722097.357864747</v>
          </cell>
          <cell r="AC6">
            <v>1773760.2786006895</v>
          </cell>
          <cell r="AD6">
            <v>1826973.0869587103</v>
          </cell>
          <cell r="AE6">
            <v>1881782.2795674717</v>
          </cell>
          <cell r="AF6">
            <v>1938235.747954496</v>
          </cell>
          <cell r="AG6">
            <v>1996382.8203931309</v>
          </cell>
          <cell r="AH6">
            <v>2056274.3050049248</v>
          </cell>
          <cell r="AI6">
            <v>2117962.5341550726</v>
          </cell>
          <cell r="AJ6">
            <v>2181501.410179725</v>
          </cell>
          <cell r="AK6">
            <v>2246946.4524851167</v>
          </cell>
          <cell r="AL6">
            <v>2314354.84605967</v>
          </cell>
          <cell r="AM6">
            <v>2383785.4914414603</v>
          </cell>
        </row>
        <row r="7">
          <cell r="I7">
            <v>1239728</v>
          </cell>
          <cell r="J7">
            <v>1264522.56</v>
          </cell>
          <cell r="K7">
            <v>1289813.0112</v>
          </cell>
          <cell r="L7">
            <v>1315609.2714240002</v>
          </cell>
          <cell r="M7">
            <v>1341921.45685248</v>
          </cell>
          <cell r="N7">
            <v>1368759.8859895298</v>
          </cell>
          <cell r="O7">
            <v>1396135.0837093203</v>
          </cell>
          <cell r="P7">
            <v>1438019.1362206</v>
          </cell>
          <cell r="Q7">
            <v>1481159.7103072181</v>
          </cell>
          <cell r="R7">
            <v>1525594.5016164347</v>
          </cell>
          <cell r="S7">
            <v>1571362.3366649277</v>
          </cell>
          <cell r="T7">
            <v>1618503.2067648754</v>
          </cell>
          <cell r="U7">
            <v>1667058.3029678217</v>
          </cell>
          <cell r="V7">
            <v>1717070.0520568565</v>
          </cell>
          <cell r="W7">
            <v>1768582.1536185623</v>
          </cell>
          <cell r="X7">
            <v>1821639.618227119</v>
          </cell>
          <cell r="Y7">
            <v>1876288.8067739327</v>
          </cell>
          <cell r="Z7">
            <v>1932577.4709771506</v>
          </cell>
          <cell r="AA7">
            <v>1990554.7951064652</v>
          </cell>
          <cell r="AB7">
            <v>2050271.4389596593</v>
          </cell>
          <cell r="AC7">
            <v>2111779.5821284493</v>
          </cell>
          <cell r="AD7">
            <v>2175132.969592303</v>
          </cell>
          <cell r="AE7">
            <v>2240386.9586800723</v>
          </cell>
          <cell r="AF7">
            <v>2307598.5674404744</v>
          </cell>
          <cell r="AG7">
            <v>2376826.5244636885</v>
          </cell>
          <cell r="AH7">
            <v>2448131.320197599</v>
          </cell>
          <cell r="AI7">
            <v>2521575.259803527</v>
          </cell>
          <cell r="AJ7">
            <v>2597222.517597633</v>
          </cell>
          <cell r="AK7">
            <v>2675139.193125562</v>
          </cell>
          <cell r="AL7">
            <v>2755393.368919329</v>
          </cell>
          <cell r="AM7">
            <v>2838055.169986909</v>
          </cell>
        </row>
        <row r="8">
          <cell r="I8">
            <v>390146</v>
          </cell>
          <cell r="J8">
            <v>397948.92</v>
          </cell>
          <cell r="K8">
            <v>405907.8984</v>
          </cell>
          <cell r="L8">
            <v>414026.056368</v>
          </cell>
          <cell r="M8">
            <v>422306.57749536</v>
          </cell>
          <cell r="N8">
            <v>430752.7090452672</v>
          </cell>
          <cell r="O8">
            <v>439367.76322617254</v>
          </cell>
          <cell r="P8">
            <v>452548.7961229577</v>
          </cell>
          <cell r="Q8">
            <v>466125.26000664645</v>
          </cell>
          <cell r="R8">
            <v>480109.01780684583</v>
          </cell>
          <cell r="S8">
            <v>494512.2883410512</v>
          </cell>
          <cell r="T8">
            <v>509347.65699128277</v>
          </cell>
          <cell r="U8">
            <v>524628.0867010213</v>
          </cell>
          <cell r="V8">
            <v>540366.9293020519</v>
          </cell>
          <cell r="W8">
            <v>556577.9371811135</v>
          </cell>
          <cell r="X8">
            <v>573275.275296547</v>
          </cell>
          <cell r="Y8">
            <v>590473.5335554434</v>
          </cell>
          <cell r="Z8">
            <v>608187.7395621067</v>
          </cell>
          <cell r="AA8">
            <v>626433.3717489699</v>
          </cell>
          <cell r="AB8">
            <v>645226.372901439</v>
          </cell>
          <cell r="AC8">
            <v>664583.1640884822</v>
          </cell>
          <cell r="AD8">
            <v>684520.6590111366</v>
          </cell>
          <cell r="AE8">
            <v>705056.2787814707</v>
          </cell>
          <cell r="AF8">
            <v>726207.9671449149</v>
          </cell>
          <cell r="AG8">
            <v>747994.2061592623</v>
          </cell>
          <cell r="AH8">
            <v>770434.0323440402</v>
          </cell>
          <cell r="AI8">
            <v>793547.0533143615</v>
          </cell>
          <cell r="AJ8">
            <v>817353.4649137923</v>
          </cell>
          <cell r="AK8">
            <v>841874.0688612061</v>
          </cell>
          <cell r="AL8">
            <v>867130.2909270423</v>
          </cell>
          <cell r="AM8">
            <v>893144.1996548536</v>
          </cell>
        </row>
        <row r="9">
          <cell r="I9">
            <v>132270</v>
          </cell>
          <cell r="J9">
            <v>136238.1</v>
          </cell>
          <cell r="K9">
            <v>140325.24300000002</v>
          </cell>
          <cell r="L9">
            <v>144535.00029000003</v>
          </cell>
          <cell r="M9">
            <v>148871.05029870002</v>
          </cell>
          <cell r="N9">
            <v>153337.18180766102</v>
          </cell>
          <cell r="O9">
            <v>157937.29726189087</v>
          </cell>
          <cell r="P9">
            <v>162675.4161797476</v>
          </cell>
          <cell r="Q9">
            <v>167555.67866514003</v>
          </cell>
          <cell r="R9">
            <v>172582.34902509424</v>
          </cell>
          <cell r="S9">
            <v>177759.81949584707</v>
          </cell>
          <cell r="T9">
            <v>183092.61408072247</v>
          </cell>
          <cell r="U9">
            <v>188585.39250314416</v>
          </cell>
          <cell r="V9">
            <v>194242.9542782385</v>
          </cell>
          <cell r="W9">
            <v>200070.24290658566</v>
          </cell>
          <cell r="X9">
            <v>206072.35019378323</v>
          </cell>
          <cell r="Y9">
            <v>212254.52069959673</v>
          </cell>
          <cell r="Z9">
            <v>218622.15632058465</v>
          </cell>
          <cell r="AA9">
            <v>225180.8210102022</v>
          </cell>
          <cell r="AB9">
            <v>231936.24564050828</v>
          </cell>
          <cell r="AC9">
            <v>238894.33300972354</v>
          </cell>
          <cell r="AD9">
            <v>246061.16300001525</v>
          </cell>
          <cell r="AE9">
            <v>253442.99789001571</v>
          </cell>
          <cell r="AF9">
            <v>261046.2878267162</v>
          </cell>
          <cell r="AG9">
            <v>268877.6764615177</v>
          </cell>
          <cell r="AH9">
            <v>276944.00675536325</v>
          </cell>
          <cell r="AI9">
            <v>285252.3269580242</v>
          </cell>
          <cell r="AJ9">
            <v>293809.8967667649</v>
          </cell>
          <cell r="AK9">
            <v>302624.1936697679</v>
          </cell>
          <cell r="AL9">
            <v>311702.9194798609</v>
          </cell>
          <cell r="AM9">
            <v>321054.00706425676</v>
          </cell>
        </row>
        <row r="10">
          <cell r="I10">
            <v>891784</v>
          </cell>
          <cell r="J10">
            <v>891784</v>
          </cell>
          <cell r="K10">
            <v>918537.52</v>
          </cell>
          <cell r="L10">
            <v>946093.6456</v>
          </cell>
          <cell r="M10">
            <v>974476.4549680001</v>
          </cell>
          <cell r="N10">
            <v>1003710.7486170401</v>
          </cell>
          <cell r="O10">
            <v>1033822.0710755513</v>
          </cell>
          <cell r="P10">
            <v>1064836.733207818</v>
          </cell>
          <cell r="Q10">
            <v>1096781.8352040525</v>
          </cell>
          <cell r="R10">
            <v>1129685.290260174</v>
          </cell>
          <cell r="S10">
            <v>1163575.8489679794</v>
          </cell>
          <cell r="T10">
            <v>1198483.1244370188</v>
          </cell>
          <cell r="U10">
            <v>1234437.6181701294</v>
          </cell>
          <cell r="V10">
            <v>1271470.7467152332</v>
          </cell>
          <cell r="W10">
            <v>1309614.8691166902</v>
          </cell>
          <cell r="X10">
            <v>1348903.315190191</v>
          </cell>
          <cell r="Y10">
            <v>1389370.4146458968</v>
          </cell>
          <cell r="Z10">
            <v>1431051.5270852738</v>
          </cell>
          <cell r="AA10">
            <v>1473983.072897832</v>
          </cell>
          <cell r="AB10">
            <v>1518202.5650847668</v>
          </cell>
          <cell r="AC10">
            <v>1563748.64203731</v>
          </cell>
          <cell r="AD10">
            <v>1610661.1012984293</v>
          </cell>
          <cell r="AE10">
            <v>1658980.9343373822</v>
          </cell>
          <cell r="AF10">
            <v>1708750.3623675038</v>
          </cell>
          <cell r="AG10">
            <v>1760012.873238529</v>
          </cell>
          <cell r="AH10">
            <v>1812813.259435685</v>
          </cell>
          <cell r="AI10">
            <v>1867197.6572187555</v>
          </cell>
          <cell r="AJ10">
            <v>1923213.586935318</v>
          </cell>
          <cell r="AK10">
            <v>1980909.9945433778</v>
          </cell>
          <cell r="AL10">
            <v>2040337.2943796793</v>
          </cell>
          <cell r="AM10">
            <v>2101547.4132110695</v>
          </cell>
        </row>
        <row r="11">
          <cell r="I11">
            <v>290893.385475</v>
          </cell>
          <cell r="J11">
            <v>299620.18703925004</v>
          </cell>
          <cell r="K11">
            <v>308608.79265042755</v>
          </cell>
          <cell r="L11">
            <v>317867.0564299404</v>
          </cell>
          <cell r="M11">
            <v>327403.0681228386</v>
          </cell>
          <cell r="N11">
            <v>337225.16016652377</v>
          </cell>
          <cell r="O11">
            <v>347341.9149715195</v>
          </cell>
          <cell r="P11">
            <v>357762.1724206651</v>
          </cell>
          <cell r="Q11">
            <v>368495.0375932851</v>
          </cell>
          <cell r="R11">
            <v>379549.88872108364</v>
          </cell>
          <cell r="S11">
            <v>390936.38538271614</v>
          </cell>
          <cell r="T11">
            <v>402664.4769441976</v>
          </cell>
          <cell r="U11">
            <v>414744.41125252354</v>
          </cell>
          <cell r="V11">
            <v>427186.7435900993</v>
          </cell>
          <cell r="W11">
            <v>440002.34589780227</v>
          </cell>
          <cell r="X11">
            <v>453202.41627473634</v>
          </cell>
          <cell r="Y11">
            <v>466798.48876297846</v>
          </cell>
          <cell r="Z11">
            <v>480802.4434258678</v>
          </cell>
          <cell r="AA11">
            <v>495226.51672864385</v>
          </cell>
          <cell r="AB11">
            <v>510083.3122305032</v>
          </cell>
          <cell r="AC11">
            <v>525385.8115974183</v>
          </cell>
          <cell r="AD11">
            <v>541147.3859453409</v>
          </cell>
          <cell r="AE11">
            <v>557381.8075237011</v>
          </cell>
          <cell r="AF11">
            <v>574103.2617494122</v>
          </cell>
          <cell r="AG11">
            <v>591326.3596018945</v>
          </cell>
          <cell r="AH11">
            <v>609066.1503899513</v>
          </cell>
          <cell r="AI11">
            <v>627338.1349016499</v>
          </cell>
          <cell r="AJ11">
            <v>646158.2789486994</v>
          </cell>
          <cell r="AK11">
            <v>665543.0273171604</v>
          </cell>
          <cell r="AL11">
            <v>685509.3181366752</v>
          </cell>
          <cell r="AM11">
            <v>706074.5976807754</v>
          </cell>
        </row>
        <row r="12">
          <cell r="I12">
            <v>120220</v>
          </cell>
          <cell r="J12">
            <v>123826.6</v>
          </cell>
          <cell r="K12">
            <v>127541.39800000002</v>
          </cell>
          <cell r="L12">
            <v>131367.63994000002</v>
          </cell>
          <cell r="M12">
            <v>135308.66913820003</v>
          </cell>
          <cell r="N12">
            <v>139367.92921234603</v>
          </cell>
          <cell r="O12">
            <v>143548.96708871642</v>
          </cell>
          <cell r="P12">
            <v>147855.4361013779</v>
          </cell>
          <cell r="Q12">
            <v>152291.09918441926</v>
          </cell>
          <cell r="R12">
            <v>156859.83215995185</v>
          </cell>
          <cell r="S12">
            <v>161565.6271247504</v>
          </cell>
          <cell r="T12">
            <v>166412.59593849292</v>
          </cell>
          <cell r="U12">
            <v>171404.97381664772</v>
          </cell>
          <cell r="V12">
            <v>176547.12303114714</v>
          </cell>
          <cell r="W12">
            <v>181843.53672208157</v>
          </cell>
          <cell r="X12">
            <v>187298.84282374402</v>
          </cell>
          <cell r="Y12">
            <v>192917.80810845635</v>
          </cell>
          <cell r="Z12">
            <v>198705.34235171005</v>
          </cell>
          <cell r="AA12">
            <v>204666.50262226135</v>
          </cell>
          <cell r="AB12">
            <v>210806.4977009292</v>
          </cell>
          <cell r="AC12">
            <v>217130.6926319571</v>
          </cell>
          <cell r="AD12">
            <v>223644.6134109158</v>
          </cell>
          <cell r="AE12">
            <v>230353.95181324327</v>
          </cell>
          <cell r="AF12">
            <v>237264.57036764058</v>
          </cell>
          <cell r="AG12">
            <v>244382.5074786698</v>
          </cell>
          <cell r="AH12">
            <v>251713.9827030299</v>
          </cell>
          <cell r="AI12">
            <v>259265.40218412082</v>
          </cell>
          <cell r="AJ12">
            <v>267043.36424964445</v>
          </cell>
          <cell r="AK12">
            <v>275054.6651771338</v>
          </cell>
          <cell r="AL12">
            <v>283306.3051324478</v>
          </cell>
          <cell r="AM12">
            <v>291805.4942864212</v>
          </cell>
        </row>
        <row r="13">
          <cell r="I13">
            <v>10000</v>
          </cell>
          <cell r="J13">
            <v>10300</v>
          </cell>
          <cell r="K13">
            <v>10609</v>
          </cell>
          <cell r="L13">
            <v>10927.27</v>
          </cell>
          <cell r="M13">
            <v>11255.0881</v>
          </cell>
          <cell r="N13">
            <v>11592.740743</v>
          </cell>
          <cell r="O13">
            <v>11940.52296529</v>
          </cell>
          <cell r="P13">
            <v>12298.7386542487</v>
          </cell>
          <cell r="Q13">
            <v>12667.700813876161</v>
          </cell>
          <cell r="R13">
            <v>13047.731838292446</v>
          </cell>
          <cell r="S13">
            <v>13439.16379344122</v>
          </cell>
          <cell r="T13">
            <v>13842.338707244457</v>
          </cell>
          <cell r="U13">
            <v>14257.60886846179</v>
          </cell>
          <cell r="V13">
            <v>14685.337134515645</v>
          </cell>
          <cell r="W13">
            <v>15125.897248551115</v>
          </cell>
          <cell r="X13">
            <v>15579.67416600765</v>
          </cell>
          <cell r="Y13">
            <v>16047.06439098788</v>
          </cell>
          <cell r="Z13">
            <v>16528.476322717517</v>
          </cell>
          <cell r="AA13">
            <v>17024.330612399044</v>
          </cell>
          <cell r="AB13">
            <v>17535.060530771018</v>
          </cell>
          <cell r="AC13">
            <v>18061.11234669415</v>
          </cell>
          <cell r="AD13">
            <v>18602.945717094975</v>
          </cell>
          <cell r="AE13">
            <v>19161.034088607827</v>
          </cell>
          <cell r="AF13">
            <v>19735.865111266063</v>
          </cell>
          <cell r="AG13">
            <v>20327.941064604045</v>
          </cell>
          <cell r="AH13">
            <v>20937.77929654217</v>
          </cell>
          <cell r="AI13">
            <v>21565.912675438434</v>
          </cell>
          <cell r="AJ13">
            <v>22212.890055701588</v>
          </cell>
          <cell r="AK13">
            <v>22879.276757372634</v>
          </cell>
          <cell r="AL13">
            <v>23565.655060093814</v>
          </cell>
          <cell r="AM13">
            <v>24272.624711896628</v>
          </cell>
        </row>
        <row r="14">
          <cell r="I14">
            <v>128380</v>
          </cell>
          <cell r="J14">
            <v>132231.4</v>
          </cell>
          <cell r="K14">
            <v>136198.342</v>
          </cell>
          <cell r="L14">
            <v>140284.29226000002</v>
          </cell>
          <cell r="M14">
            <v>144492.82102780003</v>
          </cell>
          <cell r="N14">
            <v>148827.60565863404</v>
          </cell>
          <cell r="O14">
            <v>153292.43382839306</v>
          </cell>
          <cell r="P14">
            <v>157891.20684324484</v>
          </cell>
          <cell r="Q14">
            <v>162627.9430485422</v>
          </cell>
          <cell r="R14">
            <v>167506.78133999847</v>
          </cell>
          <cell r="S14">
            <v>172531.98478019843</v>
          </cell>
          <cell r="T14">
            <v>177707.94432360437</v>
          </cell>
          <cell r="U14">
            <v>183039.1826533125</v>
          </cell>
          <cell r="V14">
            <v>188530.3581329119</v>
          </cell>
          <cell r="W14">
            <v>194186.26887689927</v>
          </cell>
          <cell r="X14">
            <v>200011.85694320625</v>
          </cell>
          <cell r="Y14">
            <v>206012.21265150246</v>
          </cell>
          <cell r="Z14">
            <v>212192.57903104753</v>
          </cell>
          <cell r="AA14">
            <v>218558.35640197896</v>
          </cell>
          <cell r="AB14">
            <v>225115.10709403834</v>
          </cell>
          <cell r="AC14">
            <v>231868.5603068595</v>
          </cell>
          <cell r="AD14">
            <v>238824.6171160653</v>
          </cell>
          <cell r="AE14">
            <v>245989.35562954727</v>
          </cell>
          <cell r="AF14">
            <v>253369.0362984337</v>
          </cell>
          <cell r="AG14">
            <v>260970.10738738673</v>
          </cell>
          <cell r="AH14">
            <v>268799.2106090083</v>
          </cell>
          <cell r="AI14">
            <v>276863.1869272786</v>
          </cell>
          <cell r="AJ14">
            <v>285169.08253509697</v>
          </cell>
          <cell r="AK14">
            <v>293724.1550111499</v>
          </cell>
          <cell r="AL14">
            <v>302535.8796614844</v>
          </cell>
          <cell r="AM14">
            <v>311611.9560513289</v>
          </cell>
        </row>
        <row r="15">
          <cell r="I15">
            <v>69000</v>
          </cell>
          <cell r="J15">
            <v>71070</v>
          </cell>
          <cell r="K15">
            <v>73202.1</v>
          </cell>
          <cell r="L15">
            <v>75398.16300000002</v>
          </cell>
          <cell r="M15">
            <v>77660.10789000001</v>
          </cell>
          <cell r="N15">
            <v>79989.91112670001</v>
          </cell>
          <cell r="O15">
            <v>82389.60846050101</v>
          </cell>
          <cell r="P15">
            <v>84861.29671431605</v>
          </cell>
          <cell r="Q15">
            <v>87407.13561574553</v>
          </cell>
          <cell r="R15">
            <v>90029.3496842179</v>
          </cell>
          <cell r="S15">
            <v>92730.23017474444</v>
          </cell>
          <cell r="T15">
            <v>95512.13707998677</v>
          </cell>
          <cell r="U15">
            <v>98377.50119238638</v>
          </cell>
          <cell r="V15">
            <v>101328.82622815797</v>
          </cell>
          <cell r="W15">
            <v>104368.69101500271</v>
          </cell>
          <cell r="X15">
            <v>107499.7517454528</v>
          </cell>
          <cell r="Y15">
            <v>110724.74429781639</v>
          </cell>
          <cell r="Z15">
            <v>114046.48662675088</v>
          </cell>
          <cell r="AA15">
            <v>117467.8812255534</v>
          </cell>
          <cell r="AB15">
            <v>120991.91766232</v>
          </cell>
          <cell r="AC15">
            <v>124621.6751921896</v>
          </cell>
          <cell r="AD15">
            <v>128360.3254479553</v>
          </cell>
          <cell r="AE15">
            <v>132211.13521139396</v>
          </cell>
          <cell r="AF15">
            <v>136177.46926773578</v>
          </cell>
          <cell r="AG15">
            <v>140262.79334576786</v>
          </cell>
          <cell r="AH15">
            <v>144470.6771461409</v>
          </cell>
          <cell r="AI15">
            <v>148804.79746052512</v>
          </cell>
          <cell r="AJ15">
            <v>153268.94138434087</v>
          </cell>
          <cell r="AK15">
            <v>157867.0096258711</v>
          </cell>
          <cell r="AL15">
            <v>162603.01991464724</v>
          </cell>
          <cell r="AM15">
            <v>167481.11051208666</v>
          </cell>
        </row>
        <row r="16">
          <cell r="I16">
            <v>22500</v>
          </cell>
          <cell r="J16">
            <v>23175</v>
          </cell>
          <cell r="K16">
            <v>23870.25</v>
          </cell>
          <cell r="L16">
            <v>24586.357500000002</v>
          </cell>
          <cell r="M16">
            <v>25323.948225000004</v>
          </cell>
          <cell r="N16">
            <v>26083.666671750005</v>
          </cell>
          <cell r="O16">
            <v>26866.176671902507</v>
          </cell>
          <cell r="P16">
            <v>27672.161972059585</v>
          </cell>
          <cell r="Q16">
            <v>28502.326831221373</v>
          </cell>
          <cell r="R16">
            <v>29357.396636158013</v>
          </cell>
          <cell r="S16">
            <v>30238.118535242753</v>
          </cell>
          <cell r="T16">
            <v>31145.262091300036</v>
          </cell>
          <cell r="U16">
            <v>32079.619954039037</v>
          </cell>
          <cell r="V16">
            <v>33042.00855266021</v>
          </cell>
          <cell r="W16">
            <v>34033.26880924002</v>
          </cell>
          <cell r="X16">
            <v>35054.26687351722</v>
          </cell>
          <cell r="Y16">
            <v>36105.894879722735</v>
          </cell>
          <cell r="Z16">
            <v>37189.07172611442</v>
          </cell>
          <cell r="AA16">
            <v>38304.74387789785</v>
          </cell>
          <cell r="AB16">
            <v>39453.88619423479</v>
          </cell>
          <cell r="AC16">
            <v>40637.50278006183</v>
          </cell>
          <cell r="AD16">
            <v>41856.62786346369</v>
          </cell>
          <cell r="AE16">
            <v>43112.3266993676</v>
          </cell>
          <cell r="AF16">
            <v>44405.69650034863</v>
          </cell>
          <cell r="AG16">
            <v>45737.86739535909</v>
          </cell>
          <cell r="AH16">
            <v>47110.003417219865</v>
          </cell>
          <cell r="AI16">
            <v>48523.30351973646</v>
          </cell>
          <cell r="AJ16">
            <v>49979.002625328554</v>
          </cell>
          <cell r="AK16">
            <v>51478.37270408841</v>
          </cell>
          <cell r="AL16">
            <v>53022.72388521107</v>
          </cell>
          <cell r="AM16">
            <v>54613.4056017674</v>
          </cell>
        </row>
        <row r="17">
          <cell r="I17">
            <v>100760</v>
          </cell>
          <cell r="J17">
            <v>103782.8</v>
          </cell>
          <cell r="K17">
            <v>106896.284</v>
          </cell>
          <cell r="L17">
            <v>110103.17252000001</v>
          </cell>
          <cell r="M17">
            <v>113406.2676956</v>
          </cell>
          <cell r="N17">
            <v>116808.455726468</v>
          </cell>
          <cell r="O17">
            <v>120312.70939826204</v>
          </cell>
          <cell r="P17">
            <v>123922.0906802099</v>
          </cell>
          <cell r="Q17">
            <v>127639.7534006162</v>
          </cell>
          <cell r="R17">
            <v>131468.94600263468</v>
          </cell>
          <cell r="S17">
            <v>135413.01438271374</v>
          </cell>
          <cell r="T17">
            <v>139475.40481419515</v>
          </cell>
          <cell r="U17">
            <v>143659.666958621</v>
          </cell>
          <cell r="V17">
            <v>147969.45696737964</v>
          </cell>
          <cell r="W17">
            <v>152408.54067640103</v>
          </cell>
          <cell r="X17">
            <v>156980.79689669306</v>
          </cell>
          <cell r="Y17">
            <v>161690.22080359387</v>
          </cell>
          <cell r="Z17">
            <v>166540.92742770168</v>
          </cell>
          <cell r="AA17">
            <v>171537.15525053273</v>
          </cell>
          <cell r="AB17">
            <v>176683.2699080487</v>
          </cell>
          <cell r="AC17">
            <v>181983.76800529019</v>
          </cell>
          <cell r="AD17">
            <v>187443.2810454489</v>
          </cell>
          <cell r="AE17">
            <v>193066.5794768124</v>
          </cell>
          <cell r="AF17">
            <v>198858.57686111677</v>
          </cell>
          <cell r="AG17">
            <v>204824.33416695028</v>
          </cell>
          <cell r="AH17">
            <v>210969.0641919588</v>
          </cell>
          <cell r="AI17">
            <v>217298.13611771757</v>
          </cell>
          <cell r="AJ17">
            <v>223817.0802012491</v>
          </cell>
          <cell r="AK17">
            <v>230531.59260728658</v>
          </cell>
          <cell r="AL17">
            <v>237447.54038550518</v>
          </cell>
          <cell r="AM17">
            <v>244570.96659707034</v>
          </cell>
        </row>
        <row r="18">
          <cell r="I18">
            <v>64730</v>
          </cell>
          <cell r="J18">
            <v>66671.9</v>
          </cell>
          <cell r="K18">
            <v>68672.05700000002</v>
          </cell>
          <cell r="L18">
            <v>70732.21871000002</v>
          </cell>
          <cell r="M18">
            <v>72854.18527130001</v>
          </cell>
          <cell r="N18">
            <v>75039.81082943901</v>
          </cell>
          <cell r="O18">
            <v>77291.00515432218</v>
          </cell>
          <cell r="P18">
            <v>79609.73530895184</v>
          </cell>
          <cell r="Q18">
            <v>81998.0273682204</v>
          </cell>
          <cell r="R18">
            <v>84457.96818926702</v>
          </cell>
          <cell r="S18">
            <v>86991.70723494503</v>
          </cell>
          <cell r="T18">
            <v>89601.45845199339</v>
          </cell>
          <cell r="U18">
            <v>92289.50220555319</v>
          </cell>
          <cell r="V18">
            <v>95058.18727171978</v>
          </cell>
          <cell r="W18">
            <v>97909.93288987139</v>
          </cell>
          <cell r="X18">
            <v>100847.23087656753</v>
          </cell>
          <cell r="Y18">
            <v>103872.64780286455</v>
          </cell>
          <cell r="Z18">
            <v>106988.82723695048</v>
          </cell>
          <cell r="AA18">
            <v>110198.492054059</v>
          </cell>
          <cell r="AB18">
            <v>113504.44681568077</v>
          </cell>
          <cell r="AC18">
            <v>116909.5802201512</v>
          </cell>
          <cell r="AD18">
            <v>120416.86762675573</v>
          </cell>
          <cell r="AE18">
            <v>124029.3736555584</v>
          </cell>
          <cell r="AF18">
            <v>127750.25486522516</v>
          </cell>
          <cell r="AG18">
            <v>131582.7625111819</v>
          </cell>
          <cell r="AH18">
            <v>135530.24538651737</v>
          </cell>
          <cell r="AI18">
            <v>139596.1527481129</v>
          </cell>
          <cell r="AJ18">
            <v>143784.03733055628</v>
          </cell>
          <cell r="AK18">
            <v>148097.55845047298</v>
          </cell>
          <cell r="AL18">
            <v>152540.48520398716</v>
          </cell>
          <cell r="AM18">
            <v>157116.69976010677</v>
          </cell>
        </row>
        <row r="19">
          <cell r="I19">
            <v>248595</v>
          </cell>
          <cell r="J19">
            <v>256052.85</v>
          </cell>
          <cell r="K19">
            <v>263734.4355</v>
          </cell>
          <cell r="L19">
            <v>271646.46856500005</v>
          </cell>
          <cell r="M19">
            <v>279795.86262195004</v>
          </cell>
          <cell r="N19">
            <v>288189.73850060854</v>
          </cell>
          <cell r="O19">
            <v>296835.4306556268</v>
          </cell>
          <cell r="P19">
            <v>305740.4935752956</v>
          </cell>
          <cell r="Q19">
            <v>314912.70838255447</v>
          </cell>
          <cell r="R19">
            <v>324360.0896340311</v>
          </cell>
          <cell r="S19">
            <v>334090.89232305204</v>
          </cell>
          <cell r="T19">
            <v>344113.6190927436</v>
          </cell>
          <cell r="U19">
            <v>354437.0276655259</v>
          </cell>
          <cell r="V19">
            <v>365070.1384954917</v>
          </cell>
          <cell r="W19">
            <v>376022.24265035643</v>
          </cell>
          <cell r="X19">
            <v>387302.90992986714</v>
          </cell>
          <cell r="Y19">
            <v>398921.9972277632</v>
          </cell>
          <cell r="Z19">
            <v>410889.6571445961</v>
          </cell>
          <cell r="AA19">
            <v>423216.346858934</v>
          </cell>
          <cell r="AB19">
            <v>435912.837264702</v>
          </cell>
          <cell r="AC19">
            <v>448990.2223826431</v>
          </cell>
          <cell r="AD19">
            <v>462459.9290541224</v>
          </cell>
          <cell r="AE19">
            <v>476333.72692574613</v>
          </cell>
          <cell r="AF19">
            <v>490623.7387335185</v>
          </cell>
          <cell r="AG19">
            <v>505342.45089552406</v>
          </cell>
          <cell r="AH19">
            <v>520502.7244223898</v>
          </cell>
          <cell r="AI19">
            <v>536117.8061550616</v>
          </cell>
          <cell r="AJ19">
            <v>552201.3403397135</v>
          </cell>
          <cell r="AK19">
            <v>568767.3805499049</v>
          </cell>
          <cell r="AL19">
            <v>585830.4019664021</v>
          </cell>
          <cell r="AM19">
            <v>603405.3140253942</v>
          </cell>
        </row>
      </sheetData>
      <sheetData sheetId="7">
        <row r="38">
          <cell r="G38">
            <v>295135</v>
          </cell>
          <cell r="I38">
            <v>5520723.955475001</v>
          </cell>
          <cell r="J38">
            <v>5643293.414139249</v>
          </cell>
          <cell r="K38">
            <v>5795967.501763428</v>
          </cell>
          <cell r="L38">
            <v>5952889.317720329</v>
          </cell>
          <cell r="M38">
            <v>6114179.643974021</v>
          </cell>
          <cell r="N38">
            <v>6279962.752949762</v>
          </cell>
          <cell r="O38">
            <v>6450366.509587906</v>
          </cell>
          <cell r="P38">
            <v>6643877.504875544</v>
          </cell>
          <cell r="Q38">
            <v>6843193.830021812</v>
          </cell>
          <cell r="R38">
            <v>7048489.644922467</v>
          </cell>
          <cell r="S38">
            <v>7259944.33427014</v>
          </cell>
          <cell r="T38">
            <v>7477742.664298244</v>
          </cell>
          <cell r="U38">
            <v>7702074.9442271935</v>
          </cell>
          <cell r="V38">
            <v>7933137.192554008</v>
          </cell>
          <cell r="W38">
            <v>8171131.308330627</v>
          </cell>
          <cell r="X38">
            <v>8416265.247580549</v>
          </cell>
          <cell r="Y38">
            <v>8668753.205007965</v>
          </cell>
          <cell r="Z38">
            <v>8928815.801158205</v>
          </cell>
          <cell r="AA38">
            <v>9196680.275192948</v>
          </cell>
          <cell r="AB38">
            <v>9472580.683448737</v>
          </cell>
          <cell r="AC38">
            <v>9756758.103952201</v>
          </cell>
          <cell r="AD38">
            <v>10049460.847070768</v>
          </cell>
          <cell r="AE38">
            <v>10350944.67248289</v>
          </cell>
          <cell r="AF38">
            <v>10661473.012657376</v>
          </cell>
          <cell r="AG38">
            <v>10981317.203037098</v>
          </cell>
          <cell r="AH38">
            <v>11310756.719128208</v>
          </cell>
          <cell r="AI38">
            <v>11650079.42070206</v>
          </cell>
          <cell r="AJ38">
            <v>11999581.803323124</v>
          </cell>
          <cell r="AK38">
            <v>12359569.257422812</v>
          </cell>
          <cell r="AL38">
            <v>12730356.3351455</v>
          </cell>
        </row>
        <row r="40">
          <cell r="F40">
            <v>296592</v>
          </cell>
        </row>
      </sheetData>
      <sheetData sheetId="9">
        <row r="100">
          <cell r="K100">
            <v>85926009.08400707</v>
          </cell>
        </row>
      </sheetData>
      <sheetData sheetId="11">
        <row r="13">
          <cell r="N13">
            <v>288000</v>
          </cell>
          <cell r="P13">
            <v>288000</v>
          </cell>
          <cell r="Q13">
            <v>284252</v>
          </cell>
        </row>
        <row r="15">
          <cell r="Q15">
            <v>11010</v>
          </cell>
        </row>
        <row r="99">
          <cell r="Q99">
            <v>101603584.92824045</v>
          </cell>
          <cell r="U99">
            <v>18400093.037069067</v>
          </cell>
        </row>
      </sheetData>
      <sheetData sheetId="16">
        <row r="24">
          <cell r="E24">
            <v>177.3913043478261</v>
          </cell>
          <cell r="F24">
            <v>204</v>
          </cell>
        </row>
        <row r="25">
          <cell r="C25">
            <v>0.03</v>
          </cell>
        </row>
        <row r="55">
          <cell r="C55">
            <v>0.15</v>
          </cell>
        </row>
      </sheetData>
      <sheetData sheetId="17">
        <row r="10">
          <cell r="I10">
            <v>0.55</v>
          </cell>
        </row>
      </sheetData>
      <sheetData sheetId="33">
        <row r="138">
          <cell r="O138">
            <v>-1212762.7087995321</v>
          </cell>
          <cell r="P138">
            <v>-1229758.580063518</v>
          </cell>
          <cell r="Q138">
            <v>-1377989.5974654234</v>
          </cell>
          <cell r="R138">
            <v>-1377829.6503893854</v>
          </cell>
          <cell r="S138">
            <v>-1411762.559901068</v>
          </cell>
          <cell r="T138">
            <v>-1577438.7266981</v>
          </cell>
          <cell r="U138">
            <v>-1749282.2834990432</v>
          </cell>
        </row>
      </sheetData>
      <sheetData sheetId="35">
        <row r="44">
          <cell r="E44">
            <v>957000</v>
          </cell>
          <cell r="F44">
            <v>522000</v>
          </cell>
          <cell r="G44">
            <v>435000</v>
          </cell>
        </row>
      </sheetData>
      <sheetData sheetId="40">
        <row r="23">
          <cell r="K23">
            <v>0.06482355062661369</v>
          </cell>
        </row>
      </sheetData>
      <sheetData sheetId="41">
        <row r="6">
          <cell r="B6">
            <v>0.03</v>
          </cell>
        </row>
        <row r="10">
          <cell r="B10">
            <v>0.905167683900435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 worksheet"/>
      <sheetName val=".2.2004 revised 2nd time.xls]Cr"/>
      <sheetName val="Alternative 2007 scenario"/>
      <sheetName val="Cash flow for graph"/>
      <sheetName val="KCC Improvements"/>
      <sheetName val="MMRF"/>
      <sheetName val="2007 revenue detail"/>
    </sheetNames>
    <sheetDataSet>
      <sheetData sheetId="0">
        <row r="34">
          <cell r="B34">
            <v>-4253779.831333475</v>
          </cell>
        </row>
        <row r="39">
          <cell r="B39">
            <v>1677218.9058119897</v>
          </cell>
        </row>
        <row r="43">
          <cell r="B43">
            <v>2952103.194625799</v>
          </cell>
        </row>
        <row r="51">
          <cell r="B51">
            <v>-2346394.147755045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worksheet"/>
      <sheetName val="KC Costs"/>
      <sheetName val="Building Proforma Allowance tot"/>
      <sheetName val="Cashflow and Economics"/>
      <sheetName val="Parking Slots"/>
      <sheetName val="Alternatives Capital Inv"/>
      <sheetName val="KCAC MMRF"/>
      <sheetName val="Rate sheet from CC"/>
    </sheetNames>
    <sheetDataSet>
      <sheetData sheetId="3">
        <row r="53">
          <cell r="H53">
            <v>11165306.642272592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44"/>
  <sheetViews>
    <sheetView tabSelected="1" workbookViewId="0" topLeftCell="C56">
      <selection activeCell="H83" sqref="H83"/>
    </sheetView>
  </sheetViews>
  <sheetFormatPr defaultColWidth="9.140625" defaultRowHeight="12.75"/>
  <cols>
    <col min="1" max="1" width="18.57421875" style="6" customWidth="1"/>
    <col min="2" max="2" width="22.00390625" style="6" customWidth="1"/>
    <col min="3" max="4" width="15.421875" style="6" customWidth="1"/>
    <col min="5" max="5" width="22.140625" style="252" customWidth="1"/>
    <col min="6" max="6" width="29.28125" style="5" customWidth="1"/>
    <col min="7" max="67" width="11.7109375" style="5" customWidth="1"/>
    <col min="68" max="16384" width="11.7109375" style="6" customWidth="1"/>
  </cols>
  <sheetData>
    <row r="1" spans="5:12" ht="16.5" hidden="1" thickBot="1">
      <c r="E1" s="1"/>
      <c r="F1" s="2" t="s">
        <v>0</v>
      </c>
      <c r="G1" s="3">
        <v>0</v>
      </c>
      <c r="H1" s="2"/>
      <c r="I1" s="2"/>
      <c r="J1" s="2" t="s">
        <v>1</v>
      </c>
      <c r="K1" s="2" t="s">
        <v>2</v>
      </c>
      <c r="L1" s="4" t="s">
        <v>3</v>
      </c>
    </row>
    <row r="2" spans="5:13" ht="12.75" hidden="1">
      <c r="E2" s="1"/>
      <c r="F2" s="7" t="s">
        <v>4</v>
      </c>
      <c r="G2" s="8">
        <f>'[1]KC format'!Q99</f>
        <v>101603584.92824045</v>
      </c>
      <c r="H2" s="9"/>
      <c r="I2" s="2"/>
      <c r="J2" s="10">
        <f>G2-G8</f>
        <v>83203491.89117138</v>
      </c>
      <c r="K2" s="10">
        <f>G8</f>
        <v>18400093.037069067</v>
      </c>
      <c r="L2" s="11">
        <f>J2+K2</f>
        <v>101603584.92824045</v>
      </c>
      <c r="M2" s="12">
        <f>J2/288000</f>
        <v>288.90101351101174</v>
      </c>
    </row>
    <row r="3" spans="5:13" ht="12.75" hidden="1">
      <c r="E3" s="1"/>
      <c r="F3" s="13" t="s">
        <v>5</v>
      </c>
      <c r="G3" s="14" t="s">
        <v>6</v>
      </c>
      <c r="H3" s="15"/>
      <c r="I3" s="2" t="s">
        <v>7</v>
      </c>
      <c r="J3" s="11"/>
      <c r="K3" s="11"/>
      <c r="L3" s="11"/>
      <c r="M3" s="12"/>
    </row>
    <row r="4" spans="5:13" ht="12.75" hidden="1">
      <c r="E4" s="1"/>
      <c r="F4" s="13"/>
      <c r="G4" s="16"/>
      <c r="H4" s="15"/>
      <c r="I4" s="2"/>
      <c r="J4" s="11"/>
      <c r="K4" s="11"/>
      <c r="L4" s="11"/>
      <c r="M4" s="12"/>
    </row>
    <row r="5" spans="5:13" ht="13.5" hidden="1">
      <c r="E5" s="1"/>
      <c r="F5" s="13" t="s">
        <v>8</v>
      </c>
      <c r="G5" s="17">
        <f>1500000/G6</f>
        <v>80000</v>
      </c>
      <c r="H5" s="18" t="s">
        <v>9</v>
      </c>
      <c r="I5" s="2"/>
      <c r="J5" s="10"/>
      <c r="K5" s="10"/>
      <c r="L5" s="10"/>
      <c r="M5" s="12"/>
    </row>
    <row r="6" spans="5:13" ht="13.5" hidden="1">
      <c r="E6" s="19">
        <f>G6*G5</f>
        <v>1500000</v>
      </c>
      <c r="F6" s="13" t="s">
        <v>10</v>
      </c>
      <c r="G6" s="20">
        <v>18.75</v>
      </c>
      <c r="H6" s="18" t="s">
        <v>11</v>
      </c>
      <c r="I6" s="2"/>
      <c r="J6" s="21"/>
      <c r="K6" s="21"/>
      <c r="L6" s="10"/>
      <c r="M6" s="12"/>
    </row>
    <row r="7" spans="5:13" ht="15" hidden="1">
      <c r="E7" s="1"/>
      <c r="F7" s="13" t="s">
        <v>12</v>
      </c>
      <c r="G7" s="22">
        <f>K2/L2</f>
        <v>0.18109688796969614</v>
      </c>
      <c r="H7" s="15"/>
      <c r="I7" s="2"/>
      <c r="J7" s="23">
        <v>27.5</v>
      </c>
      <c r="K7" s="23">
        <v>25</v>
      </c>
      <c r="L7" s="23">
        <v>30</v>
      </c>
      <c r="M7" s="12"/>
    </row>
    <row r="8" spans="5:12" ht="12.75" hidden="1">
      <c r="E8" s="24"/>
      <c r="F8" s="13" t="s">
        <v>13</v>
      </c>
      <c r="G8" s="16">
        <f>'[1]KC format'!U99</f>
        <v>18400093.037069067</v>
      </c>
      <c r="H8" s="15" t="s">
        <v>14</v>
      </c>
      <c r="I8" s="2"/>
      <c r="J8" s="25">
        <f>-PMT($G$20,J7,$G$8)</f>
        <v>1279214.894530998</v>
      </c>
      <c r="K8" s="25">
        <f>-PMT($G$20,K7,$G$8)</f>
        <v>1338434.8579052929</v>
      </c>
      <c r="L8" s="25">
        <f>-PMT($G$20,L7,$G$8)</f>
        <v>1231277.8025802146</v>
      </c>
    </row>
    <row r="9" spans="5:12" ht="12.75" hidden="1">
      <c r="E9" s="24"/>
      <c r="F9" s="13"/>
      <c r="G9" s="16"/>
      <c r="H9" s="15"/>
      <c r="I9" s="2"/>
      <c r="J9" s="25"/>
      <c r="K9" s="25"/>
      <c r="L9" s="25"/>
    </row>
    <row r="10" spans="5:12" ht="12.75" hidden="1">
      <c r="E10" s="24"/>
      <c r="F10" s="13" t="s">
        <v>15</v>
      </c>
      <c r="G10" s="26">
        <v>296592</v>
      </c>
      <c r="H10" s="15"/>
      <c r="I10" s="2"/>
      <c r="J10" s="25"/>
      <c r="K10" s="25"/>
      <c r="L10" s="25"/>
    </row>
    <row r="11" spans="5:12" ht="12.75" hidden="1">
      <c r="E11" s="27"/>
      <c r="F11" s="13" t="s">
        <v>16</v>
      </c>
      <c r="G11" s="26">
        <v>284252</v>
      </c>
      <c r="H11" s="15"/>
      <c r="I11" s="2"/>
      <c r="J11" s="25"/>
      <c r="K11" s="25"/>
      <c r="L11" s="25"/>
    </row>
    <row r="12" spans="5:12" ht="12.75" hidden="1">
      <c r="E12" s="24"/>
      <c r="F12" s="13" t="s">
        <v>17</v>
      </c>
      <c r="G12" s="26">
        <v>261000</v>
      </c>
      <c r="H12" s="15"/>
      <c r="I12" s="2"/>
      <c r="J12" s="25"/>
      <c r="K12" s="25"/>
      <c r="L12" s="25"/>
    </row>
    <row r="13" spans="5:12" ht="12.75" hidden="1">
      <c r="E13" s="24"/>
      <c r="F13" s="13" t="s">
        <v>18</v>
      </c>
      <c r="G13" s="16">
        <f>G10</f>
        <v>296592</v>
      </c>
      <c r="H13" s="15"/>
      <c r="I13" s="2"/>
      <c r="J13" s="25"/>
      <c r="K13" s="25"/>
      <c r="L13" s="25"/>
    </row>
    <row r="14" spans="5:12" ht="12.75" hidden="1">
      <c r="E14" s="1"/>
      <c r="F14" s="13" t="s">
        <v>19</v>
      </c>
      <c r="G14" s="28">
        <f>G13-G12</f>
        <v>35592</v>
      </c>
      <c r="H14" s="29">
        <f>G11-G14</f>
        <v>248660</v>
      </c>
      <c r="I14" s="2">
        <v>25</v>
      </c>
      <c r="J14" s="30">
        <f>$K$8-J8</f>
        <v>59219.963374294806</v>
      </c>
      <c r="K14" s="30">
        <f>$K$8-K8</f>
        <v>0</v>
      </c>
      <c r="L14" s="30">
        <f>$K$8-L8</f>
        <v>107157.05532507831</v>
      </c>
    </row>
    <row r="15" spans="5:12" ht="12.75" hidden="1">
      <c r="E15" s="1"/>
      <c r="F15" s="13" t="s">
        <v>20</v>
      </c>
      <c r="G15" s="28">
        <f>'[1]KC format'!Q15</f>
        <v>11010</v>
      </c>
      <c r="H15" s="15"/>
      <c r="I15" s="2">
        <v>27.5</v>
      </c>
      <c r="J15" s="30">
        <f>$J$8-J8</f>
        <v>0</v>
      </c>
      <c r="K15" s="30">
        <f>$J$8-K8</f>
        <v>-59219.963374294806</v>
      </c>
      <c r="L15" s="30">
        <f>$J$8-L8</f>
        <v>47937.091950783506</v>
      </c>
    </row>
    <row r="16" spans="5:12" ht="12.75" hidden="1">
      <c r="E16" s="1"/>
      <c r="F16" s="13" t="s">
        <v>21</v>
      </c>
      <c r="G16" s="28">
        <f>G14-G15</f>
        <v>24582</v>
      </c>
      <c r="H16" s="15"/>
      <c r="I16" s="2">
        <v>30</v>
      </c>
      <c r="J16" s="30">
        <f>$L$8-J8</f>
        <v>-47937.091950783506</v>
      </c>
      <c r="K16" s="30">
        <f>$L$8-K8</f>
        <v>-107157.05532507831</v>
      </c>
      <c r="L16" s="30">
        <f>$L$8-L8</f>
        <v>0</v>
      </c>
    </row>
    <row r="17" spans="5:12" ht="12.75" hidden="1">
      <c r="E17" s="1"/>
      <c r="F17" s="13" t="s">
        <v>22</v>
      </c>
      <c r="G17" s="31">
        <v>0.4</v>
      </c>
      <c r="H17" s="15"/>
      <c r="I17" s="2"/>
      <c r="J17" s="2"/>
      <c r="K17" s="2"/>
      <c r="L17" s="2"/>
    </row>
    <row r="18" spans="5:12" ht="12.75" hidden="1">
      <c r="E18" s="1"/>
      <c r="F18" s="13" t="s">
        <v>23</v>
      </c>
      <c r="G18" s="32">
        <f>'[1]Proviso Summary'!K100</f>
        <v>85926009.08400707</v>
      </c>
      <c r="H18" s="15"/>
      <c r="I18" s="2"/>
      <c r="J18" s="2"/>
      <c r="K18" s="2"/>
      <c r="L18" s="2"/>
    </row>
    <row r="19" spans="5:12" ht="12.75" hidden="1">
      <c r="E19" s="19">
        <f>G19+G18</f>
        <v>101603584.92824045</v>
      </c>
      <c r="F19" s="33" t="s">
        <v>24</v>
      </c>
      <c r="G19" s="34">
        <f>G2-G18</f>
        <v>15677575.844233379</v>
      </c>
      <c r="H19" s="15"/>
      <c r="I19" s="35">
        <v>9998089.98852311</v>
      </c>
      <c r="J19" s="35">
        <f>G19-I19</f>
        <v>5679485.855710268</v>
      </c>
      <c r="K19" s="2"/>
      <c r="L19" s="2"/>
    </row>
    <row r="20" spans="5:12" ht="12.75" hidden="1">
      <c r="E20" s="1"/>
      <c r="F20" s="13" t="s">
        <v>25</v>
      </c>
      <c r="G20" s="36">
        <v>0.0525</v>
      </c>
      <c r="H20" s="15"/>
      <c r="I20" s="2"/>
      <c r="J20" s="2"/>
      <c r="K20" s="2"/>
      <c r="L20" s="2"/>
    </row>
    <row r="21" spans="5:12" ht="12.75" hidden="1">
      <c r="E21" s="1"/>
      <c r="F21" s="13" t="s">
        <v>26</v>
      </c>
      <c r="G21" s="37">
        <v>27.5</v>
      </c>
      <c r="H21" s="15"/>
      <c r="I21" s="2"/>
      <c r="J21" s="2"/>
      <c r="K21" s="2"/>
      <c r="L21" s="2"/>
    </row>
    <row r="22" spans="5:12" ht="12.75" hidden="1">
      <c r="E22" s="1"/>
      <c r="F22" s="13" t="s">
        <v>27</v>
      </c>
      <c r="G22" s="37">
        <v>25</v>
      </c>
      <c r="H22" s="15"/>
      <c r="I22" s="2"/>
      <c r="J22" s="2"/>
      <c r="K22" s="2"/>
      <c r="L22" s="2"/>
    </row>
    <row r="23" spans="5:12" ht="12.75" hidden="1">
      <c r="E23" s="19">
        <f>G23+G24</f>
        <v>7063704.456064732</v>
      </c>
      <c r="F23" s="13" t="s">
        <v>28</v>
      </c>
      <c r="G23" s="38">
        <f>-PMT($G$20,$G$21,G18)</f>
        <v>5973764.938385137</v>
      </c>
      <c r="H23" s="15"/>
      <c r="I23" s="2"/>
      <c r="J23" s="39">
        <f>J2/288000</f>
        <v>288.90101351101174</v>
      </c>
      <c r="K23" s="2"/>
      <c r="L23" s="2"/>
    </row>
    <row r="24" spans="5:12" ht="12.75" hidden="1">
      <c r="E24" s="1"/>
      <c r="F24" s="33" t="s">
        <v>29</v>
      </c>
      <c r="G24" s="40">
        <f>-PMT($G$20,$G$21,G19)</f>
        <v>1089939.5176795945</v>
      </c>
      <c r="H24" s="15"/>
      <c r="I24" s="2"/>
      <c r="J24" s="39">
        <f>J3/288000</f>
        <v>0</v>
      </c>
      <c r="K24" s="2"/>
      <c r="L24" s="2"/>
    </row>
    <row r="25" spans="5:12" ht="12.75" hidden="1">
      <c r="E25" s="41">
        <f>G25/261000</f>
        <v>1.1435459528865817</v>
      </c>
      <c r="F25" s="13" t="s">
        <v>30</v>
      </c>
      <c r="G25" s="38">
        <f>G13*'[1]Financing Proforma info'!B10+30000</f>
        <v>298465.4937033978</v>
      </c>
      <c r="H25" s="15" t="s">
        <v>31</v>
      </c>
      <c r="I25" s="2"/>
      <c r="J25" s="2"/>
      <c r="K25" s="2"/>
      <c r="L25" s="2"/>
    </row>
    <row r="26" spans="5:12" ht="12.75" hidden="1">
      <c r="E26" s="1"/>
      <c r="F26" s="42" t="s">
        <v>32</v>
      </c>
      <c r="G26" s="43">
        <f>-PMT($G$20,G22,1400000)</f>
        <v>101836.91991624229</v>
      </c>
      <c r="H26" s="44" t="s">
        <v>33</v>
      </c>
      <c r="I26" s="45"/>
      <c r="J26" s="45"/>
      <c r="K26" s="2"/>
      <c r="L26" s="2"/>
    </row>
    <row r="27" spans="5:12" ht="12.75" hidden="1">
      <c r="E27" s="1"/>
      <c r="F27" s="13" t="s">
        <v>34</v>
      </c>
      <c r="G27" s="46">
        <v>0</v>
      </c>
      <c r="H27" s="15"/>
      <c r="I27" s="2"/>
      <c r="J27" s="2"/>
      <c r="K27" s="2"/>
      <c r="L27" s="2"/>
    </row>
    <row r="28" spans="5:12" ht="12.75" hidden="1">
      <c r="E28" s="1"/>
      <c r="F28" s="13" t="s">
        <v>35</v>
      </c>
      <c r="G28" s="38">
        <f>-PMT($G$20,$G$21,G27)</f>
        <v>0</v>
      </c>
      <c r="H28" s="15"/>
      <c r="I28" s="2"/>
      <c r="J28" s="2"/>
      <c r="K28" s="2"/>
      <c r="L28" s="2"/>
    </row>
    <row r="29" spans="5:12" ht="12.75" hidden="1">
      <c r="E29" s="1"/>
      <c r="F29" s="13" t="s">
        <v>36</v>
      </c>
      <c r="G29" s="47">
        <v>0.03</v>
      </c>
      <c r="H29" s="15"/>
      <c r="I29" s="2"/>
      <c r="J29" s="2"/>
      <c r="K29" s="2"/>
      <c r="L29" s="2"/>
    </row>
    <row r="30" spans="5:12" ht="12.75" hidden="1">
      <c r="E30" s="1"/>
      <c r="F30" s="13" t="s">
        <v>37</v>
      </c>
      <c r="G30" s="47">
        <v>0.03</v>
      </c>
      <c r="H30" s="15"/>
      <c r="I30" s="2"/>
      <c r="J30" s="2"/>
      <c r="K30" s="2"/>
      <c r="L30" s="2"/>
    </row>
    <row r="31" spans="5:12" ht="12.75" hidden="1">
      <c r="E31" s="1"/>
      <c r="F31" s="13" t="s">
        <v>38</v>
      </c>
      <c r="G31" s="47">
        <v>0.08</v>
      </c>
      <c r="H31" s="15"/>
      <c r="I31" s="2"/>
      <c r="J31" s="2"/>
      <c r="K31" s="2"/>
      <c r="L31" s="2"/>
    </row>
    <row r="32" spans="5:12" ht="12.75" hidden="1">
      <c r="E32" s="1"/>
      <c r="F32" s="13"/>
      <c r="G32" s="37"/>
      <c r="H32" s="15"/>
      <c r="I32" s="2"/>
      <c r="J32" s="2"/>
      <c r="K32" s="2"/>
      <c r="L32" s="2"/>
    </row>
    <row r="33" spans="5:12" ht="12.75" hidden="1">
      <c r="E33" s="1"/>
      <c r="F33" s="13" t="s">
        <v>39</v>
      </c>
      <c r="G33" s="38">
        <f>ROUND(AH179,-5)</f>
        <v>105500000</v>
      </c>
      <c r="H33" s="15"/>
      <c r="I33" s="2"/>
      <c r="J33" s="2"/>
      <c r="K33" s="2"/>
      <c r="L33" s="2"/>
    </row>
    <row r="34" spans="5:12" ht="12.75" hidden="1">
      <c r="E34" s="1"/>
      <c r="F34" s="13" t="s">
        <v>40</v>
      </c>
      <c r="G34" s="38">
        <f>ROUND(AK185,-5)</f>
        <v>58700000</v>
      </c>
      <c r="H34" s="15"/>
      <c r="I34" s="2"/>
      <c r="J34" s="2"/>
      <c r="K34" s="2"/>
      <c r="L34" s="2"/>
    </row>
    <row r="35" spans="5:12" ht="12.75" hidden="1">
      <c r="E35" s="1"/>
      <c r="F35" s="13" t="s">
        <v>41</v>
      </c>
      <c r="G35" s="38">
        <f>ROUND(AI185,-5)</f>
        <v>6600000</v>
      </c>
      <c r="H35" s="15"/>
      <c r="I35" s="2"/>
      <c r="J35" s="2"/>
      <c r="K35" s="2"/>
      <c r="L35" s="2"/>
    </row>
    <row r="36" spans="5:12" ht="12.75" hidden="1">
      <c r="E36" s="1"/>
      <c r="F36" s="13" t="s">
        <v>42</v>
      </c>
      <c r="G36" s="38">
        <f>E173</f>
        <v>25800000</v>
      </c>
      <c r="H36" s="15" t="s">
        <v>43</v>
      </c>
      <c r="I36" s="2"/>
      <c r="J36" s="2"/>
      <c r="K36" s="2"/>
      <c r="L36" s="2"/>
    </row>
    <row r="37" spans="5:12" ht="12.75" hidden="1">
      <c r="E37" s="1"/>
      <c r="F37" s="13" t="s">
        <v>44</v>
      </c>
      <c r="G37" s="38">
        <f>E166-E156</f>
        <v>0</v>
      </c>
      <c r="H37" s="15" t="s">
        <v>43</v>
      </c>
      <c r="I37" s="2"/>
      <c r="J37" s="2"/>
      <c r="K37" s="2"/>
      <c r="L37" s="2"/>
    </row>
    <row r="38" spans="5:12" ht="12.75" hidden="1">
      <c r="E38" s="1"/>
      <c r="F38" s="13"/>
      <c r="G38" s="37"/>
      <c r="H38" s="15"/>
      <c r="I38" s="2" t="s">
        <v>45</v>
      </c>
      <c r="J38" s="2"/>
      <c r="K38" s="2"/>
      <c r="L38" s="2"/>
    </row>
    <row r="39" spans="5:12" ht="12.75" hidden="1">
      <c r="E39" s="1"/>
      <c r="F39" s="48" t="s">
        <v>46</v>
      </c>
      <c r="G39" s="37"/>
      <c r="H39" s="15"/>
      <c r="I39" s="2"/>
      <c r="J39" s="2"/>
      <c r="K39" s="2"/>
      <c r="L39" s="2"/>
    </row>
    <row r="40" spans="5:12" ht="16.5" hidden="1" thickBot="1">
      <c r="E40" s="1"/>
      <c r="F40" s="49">
        <v>0.08</v>
      </c>
      <c r="G40" s="50"/>
      <c r="H40" s="51"/>
      <c r="I40" s="2"/>
      <c r="J40" s="2"/>
      <c r="K40" s="2"/>
      <c r="L40" s="2"/>
    </row>
    <row r="41" spans="5:12" ht="12.75" hidden="1">
      <c r="E41" s="1"/>
      <c r="F41" s="21"/>
      <c r="G41" s="2"/>
      <c r="H41" s="2"/>
      <c r="I41" s="2"/>
      <c r="J41" s="2"/>
      <c r="K41" s="2"/>
      <c r="L41" s="2"/>
    </row>
    <row r="42" spans="5:12" ht="12.75" hidden="1">
      <c r="E42" s="1"/>
      <c r="F42" s="52" t="s">
        <v>47</v>
      </c>
      <c r="G42" s="53" t="s">
        <v>48</v>
      </c>
      <c r="H42" s="9"/>
      <c r="I42" s="2"/>
      <c r="J42" s="2"/>
      <c r="K42" s="2"/>
      <c r="L42" s="2"/>
    </row>
    <row r="43" spans="5:12" ht="12.75" hidden="1">
      <c r="E43" s="1"/>
      <c r="F43" s="54"/>
      <c r="G43" s="32">
        <f>'[1]Current Parking Net'!E44</f>
        <v>957000</v>
      </c>
      <c r="H43" s="15"/>
      <c r="I43" s="2"/>
      <c r="J43" s="2"/>
      <c r="K43" s="2"/>
      <c r="L43" s="2"/>
    </row>
    <row r="44" spans="5:12" ht="12.75" hidden="1">
      <c r="E44" s="1"/>
      <c r="F44" s="54"/>
      <c r="G44" s="37" t="s">
        <v>49</v>
      </c>
      <c r="H44" s="15"/>
      <c r="I44" s="2"/>
      <c r="J44" s="2"/>
      <c r="K44" s="2"/>
      <c r="L44" s="2"/>
    </row>
    <row r="45" spans="5:12" ht="12.75" hidden="1">
      <c r="E45" s="1"/>
      <c r="F45" s="54"/>
      <c r="G45" s="46">
        <f>G43*(1+G30)^3</f>
        <v>1045739.7390000001</v>
      </c>
      <c r="H45" s="55">
        <f>G45/730/12</f>
        <v>119.37668253424658</v>
      </c>
      <c r="I45" s="2"/>
      <c r="J45" s="2">
        <f>460000</f>
        <v>460000</v>
      </c>
      <c r="K45" s="2"/>
      <c r="L45" s="2"/>
    </row>
    <row r="46" spans="5:12" ht="12.75" hidden="1">
      <c r="E46" s="1"/>
      <c r="F46" s="54"/>
      <c r="G46" s="37"/>
      <c r="H46" s="15"/>
      <c r="I46" s="2"/>
      <c r="J46" s="2">
        <v>250</v>
      </c>
      <c r="K46" s="2"/>
      <c r="L46" s="2"/>
    </row>
    <row r="47" spans="5:12" ht="12.75" hidden="1">
      <c r="E47" s="1"/>
      <c r="F47" s="54"/>
      <c r="G47" s="46"/>
      <c r="H47" s="15"/>
      <c r="I47" s="2"/>
      <c r="J47" s="2">
        <f>J45/J46</f>
        <v>1840</v>
      </c>
      <c r="K47" s="2"/>
      <c r="L47" s="2"/>
    </row>
    <row r="48" spans="5:12" ht="12.75" hidden="1">
      <c r="E48" s="1"/>
      <c r="F48" s="56"/>
      <c r="G48" s="57"/>
      <c r="H48" s="15"/>
      <c r="I48" s="2"/>
      <c r="J48" s="58">
        <f>J47/12</f>
        <v>153.33333333333334</v>
      </c>
      <c r="K48" s="59">
        <f>J48-H45</f>
        <v>33.95665079908676</v>
      </c>
      <c r="L48" s="59">
        <f>K48*12*730</f>
        <v>297460.261</v>
      </c>
    </row>
    <row r="49" spans="5:12" ht="13.5" hidden="1" thickBot="1">
      <c r="E49" s="1"/>
      <c r="F49" s="60"/>
      <c r="G49" s="61"/>
      <c r="H49" s="51"/>
      <c r="I49" s="2"/>
      <c r="J49" s="2"/>
      <c r="K49" s="2"/>
      <c r="L49" s="2"/>
    </row>
    <row r="50" spans="5:12" ht="12.75" hidden="1">
      <c r="E50" s="1"/>
      <c r="F50" s="21"/>
      <c r="G50" s="2"/>
      <c r="H50" s="2"/>
      <c r="I50" s="2"/>
      <c r="J50" s="2"/>
      <c r="K50" s="2"/>
      <c r="L50" s="2"/>
    </row>
    <row r="51" spans="5:12" ht="12.75" hidden="1">
      <c r="E51" s="1"/>
      <c r="F51" s="21"/>
      <c r="G51" s="2"/>
      <c r="H51" s="2"/>
      <c r="I51" s="2"/>
      <c r="J51" s="2"/>
      <c r="K51" s="2"/>
      <c r="L51" s="2"/>
    </row>
    <row r="52" spans="5:12" ht="12.75" hidden="1">
      <c r="E52" s="1"/>
      <c r="F52" s="21"/>
      <c r="G52" s="2"/>
      <c r="H52" s="2"/>
      <c r="I52" s="2"/>
      <c r="J52" s="2"/>
      <c r="K52" s="2"/>
      <c r="L52" s="2"/>
    </row>
    <row r="53" spans="5:12" ht="12.75" hidden="1">
      <c r="E53" s="1"/>
      <c r="F53" s="21"/>
      <c r="G53" s="2"/>
      <c r="H53" s="2"/>
      <c r="I53" s="2"/>
      <c r="J53" s="2"/>
      <c r="K53" s="2"/>
      <c r="L53" s="2"/>
    </row>
    <row r="54" spans="5:67" s="62" customFormat="1" ht="12.75" hidden="1">
      <c r="E54" s="63"/>
      <c r="F54" s="64"/>
      <c r="G54" s="64"/>
      <c r="H54" s="64">
        <f aca="true" t="shared" si="0" ref="H54:AG54">H60/H55</f>
        <v>290880</v>
      </c>
      <c r="I54" s="64">
        <f t="shared" si="0"/>
        <v>290880</v>
      </c>
      <c r="J54" s="64">
        <f t="shared" si="0"/>
        <v>290880</v>
      </c>
      <c r="K54" s="64">
        <f t="shared" si="0"/>
        <v>290880</v>
      </c>
      <c r="L54" s="64">
        <f t="shared" si="0"/>
        <v>290880</v>
      </c>
      <c r="M54" s="64">
        <f t="shared" si="0"/>
        <v>290880</v>
      </c>
      <c r="N54" s="64">
        <f t="shared" si="0"/>
        <v>290880</v>
      </c>
      <c r="O54" s="64">
        <f t="shared" si="0"/>
        <v>290880</v>
      </c>
      <c r="P54" s="64">
        <f t="shared" si="0"/>
        <v>290880</v>
      </c>
      <c r="Q54" s="64">
        <f t="shared" si="0"/>
        <v>290880</v>
      </c>
      <c r="R54" s="64">
        <f t="shared" si="0"/>
        <v>290880</v>
      </c>
      <c r="S54" s="64">
        <f t="shared" si="0"/>
        <v>290880</v>
      </c>
      <c r="T54" s="64">
        <f t="shared" si="0"/>
        <v>290880</v>
      </c>
      <c r="U54" s="64">
        <f t="shared" si="0"/>
        <v>290880</v>
      </c>
      <c r="V54" s="64">
        <f t="shared" si="0"/>
        <v>290880</v>
      </c>
      <c r="W54" s="64">
        <f t="shared" si="0"/>
        <v>290880</v>
      </c>
      <c r="X54" s="64">
        <f t="shared" si="0"/>
        <v>290880</v>
      </c>
      <c r="Y54" s="64">
        <f t="shared" si="0"/>
        <v>290880</v>
      </c>
      <c r="Z54" s="64">
        <f t="shared" si="0"/>
        <v>290880</v>
      </c>
      <c r="AA54" s="64">
        <f t="shared" si="0"/>
        <v>290880</v>
      </c>
      <c r="AB54" s="64">
        <f t="shared" si="0"/>
        <v>290880</v>
      </c>
      <c r="AC54" s="64">
        <f t="shared" si="0"/>
        <v>290880</v>
      </c>
      <c r="AD54" s="64">
        <f t="shared" si="0"/>
        <v>290880</v>
      </c>
      <c r="AE54" s="64">
        <f t="shared" si="0"/>
        <v>290880</v>
      </c>
      <c r="AF54" s="64">
        <f t="shared" si="0"/>
        <v>290880</v>
      </c>
      <c r="AG54" s="64">
        <f t="shared" si="0"/>
        <v>290880</v>
      </c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</row>
    <row r="55" spans="5:33" ht="13.5" hidden="1" thickBot="1">
      <c r="E55" s="1"/>
      <c r="F55" s="21"/>
      <c r="G55" s="2"/>
      <c r="H55" s="2">
        <v>24.509461805555556</v>
      </c>
      <c r="I55" s="2">
        <v>24.52421875</v>
      </c>
      <c r="J55" s="2">
        <v>24.51987847222222</v>
      </c>
      <c r="K55" s="2">
        <v>24.513802083333335</v>
      </c>
      <c r="L55" s="2">
        <v>24.52248263888889</v>
      </c>
      <c r="M55" s="5">
        <v>24.509461805555556</v>
      </c>
      <c r="N55" s="5">
        <v>24.509461805555556</v>
      </c>
      <c r="O55" s="5">
        <v>24.520746527777778</v>
      </c>
      <c r="P55" s="5">
        <v>24.52421875</v>
      </c>
      <c r="Q55" s="5">
        <v>24.5265625</v>
      </c>
      <c r="R55" s="5">
        <v>24.5203125</v>
      </c>
      <c r="S55" s="5">
        <v>24.513368055555556</v>
      </c>
      <c r="T55" s="5">
        <v>24.524305555555557</v>
      </c>
      <c r="U55" s="5">
        <v>24.525086805555556</v>
      </c>
      <c r="V55" s="5">
        <v>24.52421875</v>
      </c>
      <c r="W55" s="5">
        <v>24.52421875</v>
      </c>
      <c r="X55" s="5">
        <v>24.523350694444446</v>
      </c>
      <c r="Y55" s="5">
        <v>24.51987847222222</v>
      </c>
      <c r="Z55" s="5">
        <v>24.51206597222222</v>
      </c>
      <c r="AA55" s="5">
        <v>24.515538194444446</v>
      </c>
      <c r="AB55" s="5">
        <v>24.521006944444444</v>
      </c>
      <c r="AC55" s="5">
        <v>24.51996527777778</v>
      </c>
      <c r="AD55" s="5">
        <v>24.513020833333332</v>
      </c>
      <c r="AE55" s="5">
        <v>24.526041666666668</v>
      </c>
      <c r="AF55" s="5">
        <v>24.520833333333332</v>
      </c>
      <c r="AG55" s="5">
        <v>6.1796875</v>
      </c>
    </row>
    <row r="56" spans="2:37" ht="22.5">
      <c r="B56"/>
      <c r="C56"/>
      <c r="D56" s="66"/>
      <c r="E56" s="67" t="s">
        <v>50</v>
      </c>
      <c r="F56" s="68"/>
      <c r="G56" s="69"/>
      <c r="H56" s="69"/>
      <c r="I56" s="69"/>
      <c r="J56" s="69"/>
      <c r="K56" s="69"/>
      <c r="L56" s="69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70"/>
    </row>
    <row r="57" spans="2:37" ht="12.75">
      <c r="B57"/>
      <c r="C57"/>
      <c r="D57" s="71"/>
      <c r="E57" s="72"/>
      <c r="F57" s="73"/>
      <c r="G57" s="74">
        <v>0</v>
      </c>
      <c r="H57" s="75">
        <v>1</v>
      </c>
      <c r="I57" s="75">
        <f aca="true" t="shared" si="1" ref="I57:AK57">H57+1</f>
        <v>2</v>
      </c>
      <c r="J57" s="75">
        <f t="shared" si="1"/>
        <v>3</v>
      </c>
      <c r="K57" s="75">
        <f t="shared" si="1"/>
        <v>4</v>
      </c>
      <c r="L57" s="75">
        <f t="shared" si="1"/>
        <v>5</v>
      </c>
      <c r="M57" s="76">
        <f t="shared" si="1"/>
        <v>6</v>
      </c>
      <c r="N57" s="76">
        <f t="shared" si="1"/>
        <v>7</v>
      </c>
      <c r="O57" s="76">
        <f t="shared" si="1"/>
        <v>8</v>
      </c>
      <c r="P57" s="76">
        <f t="shared" si="1"/>
        <v>9</v>
      </c>
      <c r="Q57" s="76">
        <f t="shared" si="1"/>
        <v>10</v>
      </c>
      <c r="R57" s="76">
        <f t="shared" si="1"/>
        <v>11</v>
      </c>
      <c r="S57" s="76">
        <f t="shared" si="1"/>
        <v>12</v>
      </c>
      <c r="T57" s="76">
        <f t="shared" si="1"/>
        <v>13</v>
      </c>
      <c r="U57" s="76">
        <f t="shared" si="1"/>
        <v>14</v>
      </c>
      <c r="V57" s="76">
        <f t="shared" si="1"/>
        <v>15</v>
      </c>
      <c r="W57" s="76">
        <f t="shared" si="1"/>
        <v>16</v>
      </c>
      <c r="X57" s="76">
        <f t="shared" si="1"/>
        <v>17</v>
      </c>
      <c r="Y57" s="76">
        <f t="shared" si="1"/>
        <v>18</v>
      </c>
      <c r="Z57" s="76">
        <f t="shared" si="1"/>
        <v>19</v>
      </c>
      <c r="AA57" s="76">
        <f t="shared" si="1"/>
        <v>20</v>
      </c>
      <c r="AB57" s="76">
        <f t="shared" si="1"/>
        <v>21</v>
      </c>
      <c r="AC57" s="76">
        <f t="shared" si="1"/>
        <v>22</v>
      </c>
      <c r="AD57" s="76">
        <f t="shared" si="1"/>
        <v>23</v>
      </c>
      <c r="AE57" s="76">
        <f t="shared" si="1"/>
        <v>24</v>
      </c>
      <c r="AF57" s="76">
        <f t="shared" si="1"/>
        <v>25</v>
      </c>
      <c r="AG57" s="76">
        <f t="shared" si="1"/>
        <v>26</v>
      </c>
      <c r="AH57" s="76">
        <f t="shared" si="1"/>
        <v>27</v>
      </c>
      <c r="AI57" s="76">
        <f t="shared" si="1"/>
        <v>28</v>
      </c>
      <c r="AJ57" s="76">
        <f t="shared" si="1"/>
        <v>29</v>
      </c>
      <c r="AK57" s="77">
        <f t="shared" si="1"/>
        <v>30</v>
      </c>
    </row>
    <row r="58" spans="2:37" ht="12.75">
      <c r="B58"/>
      <c r="C58"/>
      <c r="D58" s="71"/>
      <c r="E58" s="72"/>
      <c r="F58" s="73"/>
      <c r="G58" s="78">
        <v>2007</v>
      </c>
      <c r="H58" s="78">
        <f>G58+1</f>
        <v>2008</v>
      </c>
      <c r="I58" s="78">
        <f aca="true" t="shared" si="2" ref="I58:AK58">H58+1</f>
        <v>2009</v>
      </c>
      <c r="J58" s="78">
        <f t="shared" si="2"/>
        <v>2010</v>
      </c>
      <c r="K58" s="78">
        <f t="shared" si="2"/>
        <v>2011</v>
      </c>
      <c r="L58" s="78">
        <f t="shared" si="2"/>
        <v>2012</v>
      </c>
      <c r="M58" s="79">
        <f t="shared" si="2"/>
        <v>2013</v>
      </c>
      <c r="N58" s="79">
        <f t="shared" si="2"/>
        <v>2014</v>
      </c>
      <c r="O58" s="79">
        <f t="shared" si="2"/>
        <v>2015</v>
      </c>
      <c r="P58" s="79">
        <f t="shared" si="2"/>
        <v>2016</v>
      </c>
      <c r="Q58" s="79">
        <f t="shared" si="2"/>
        <v>2017</v>
      </c>
      <c r="R58" s="79">
        <f t="shared" si="2"/>
        <v>2018</v>
      </c>
      <c r="S58" s="79">
        <f t="shared" si="2"/>
        <v>2019</v>
      </c>
      <c r="T58" s="79">
        <f t="shared" si="2"/>
        <v>2020</v>
      </c>
      <c r="U58" s="79">
        <f t="shared" si="2"/>
        <v>2021</v>
      </c>
      <c r="V58" s="79">
        <f t="shared" si="2"/>
        <v>2022</v>
      </c>
      <c r="W58" s="79">
        <f t="shared" si="2"/>
        <v>2023</v>
      </c>
      <c r="X58" s="79">
        <f t="shared" si="2"/>
        <v>2024</v>
      </c>
      <c r="Y58" s="79">
        <f t="shared" si="2"/>
        <v>2025</v>
      </c>
      <c r="Z58" s="79">
        <f t="shared" si="2"/>
        <v>2026</v>
      </c>
      <c r="AA58" s="79">
        <f t="shared" si="2"/>
        <v>2027</v>
      </c>
      <c r="AB58" s="79">
        <f t="shared" si="2"/>
        <v>2028</v>
      </c>
      <c r="AC58" s="79">
        <f t="shared" si="2"/>
        <v>2029</v>
      </c>
      <c r="AD58" s="79">
        <f t="shared" si="2"/>
        <v>2030</v>
      </c>
      <c r="AE58" s="79">
        <f t="shared" si="2"/>
        <v>2031</v>
      </c>
      <c r="AF58" s="79">
        <f t="shared" si="2"/>
        <v>2032</v>
      </c>
      <c r="AG58" s="79">
        <f t="shared" si="2"/>
        <v>2033</v>
      </c>
      <c r="AH58" s="79">
        <f t="shared" si="2"/>
        <v>2034</v>
      </c>
      <c r="AI58" s="79">
        <f t="shared" si="2"/>
        <v>2035</v>
      </c>
      <c r="AJ58" s="79">
        <f t="shared" si="2"/>
        <v>2036</v>
      </c>
      <c r="AK58" s="80">
        <f t="shared" si="2"/>
        <v>2037</v>
      </c>
    </row>
    <row r="59" spans="2:37" ht="12.75">
      <c r="B59"/>
      <c r="C59"/>
      <c r="D59" s="71"/>
      <c r="E59" s="81" t="s">
        <v>51</v>
      </c>
      <c r="F59" s="73"/>
      <c r="G59" s="74"/>
      <c r="H59" s="74"/>
      <c r="I59" s="74"/>
      <c r="J59" s="74"/>
      <c r="K59" s="74"/>
      <c r="L59" s="74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82"/>
    </row>
    <row r="60" spans="1:37" ht="12.75">
      <c r="A60" s="83">
        <f>ROUND(NPV($G$31,G60:AG60),0)</f>
        <v>70717833</v>
      </c>
      <c r="B60"/>
      <c r="C60"/>
      <c r="D60" s="71"/>
      <c r="E60" s="72" t="s">
        <v>52</v>
      </c>
      <c r="F60" s="73"/>
      <c r="G60" s="84">
        <v>0</v>
      </c>
      <c r="H60" s="84">
        <v>7129312.25</v>
      </c>
      <c r="I60" s="84">
        <v>7133604.75</v>
      </c>
      <c r="J60" s="84">
        <v>7132342.25</v>
      </c>
      <c r="K60" s="84">
        <v>7130574.75</v>
      </c>
      <c r="L60" s="84">
        <v>7133099.75</v>
      </c>
      <c r="M60" s="84">
        <v>7129312.25</v>
      </c>
      <c r="N60" s="84">
        <v>7129312.25</v>
      </c>
      <c r="O60" s="84">
        <v>7132594.75</v>
      </c>
      <c r="P60" s="84">
        <v>7133604.75</v>
      </c>
      <c r="Q60" s="84">
        <v>7134286.5</v>
      </c>
      <c r="R60" s="84">
        <v>7132468.5</v>
      </c>
      <c r="S60" s="84">
        <v>7130448.5</v>
      </c>
      <c r="T60" s="84">
        <v>7133630</v>
      </c>
      <c r="U60" s="84">
        <v>7133857.25</v>
      </c>
      <c r="V60" s="84">
        <v>7133604.75</v>
      </c>
      <c r="W60" s="84">
        <v>7133604.75</v>
      </c>
      <c r="X60" s="84">
        <v>7133352.25</v>
      </c>
      <c r="Y60" s="84">
        <v>7132342.25</v>
      </c>
      <c r="Z60" s="84">
        <v>7130069.75</v>
      </c>
      <c r="AA60" s="84">
        <v>7131079.75</v>
      </c>
      <c r="AB60" s="84">
        <v>7132670.5</v>
      </c>
      <c r="AC60" s="84">
        <v>7132367.5</v>
      </c>
      <c r="AD60" s="84">
        <v>7130347.5</v>
      </c>
      <c r="AE60" s="84">
        <v>7134135</v>
      </c>
      <c r="AF60" s="84">
        <v>7132620</v>
      </c>
      <c r="AG60" s="84">
        <v>1797547.5</v>
      </c>
      <c r="AH60" s="85">
        <f>SUM(AH155:AH157)</f>
        <v>0</v>
      </c>
      <c r="AI60" s="85">
        <f>SUM(AI155:AI157)</f>
        <v>0</v>
      </c>
      <c r="AJ60" s="86">
        <f>SUM(AJ155:AJ157)</f>
        <v>0</v>
      </c>
      <c r="AK60" s="87"/>
    </row>
    <row r="61" spans="1:37" ht="12.75">
      <c r="A61" s="83"/>
      <c r="B61"/>
      <c r="C61"/>
      <c r="D61" s="71"/>
      <c r="E61" s="72" t="s">
        <v>53</v>
      </c>
      <c r="F61" s="73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5"/>
      <c r="AI61" s="85"/>
      <c r="AJ61" s="85"/>
      <c r="AK61" s="87"/>
    </row>
    <row r="62" spans="1:37" ht="12.75">
      <c r="A62" s="83">
        <f>ROUND(NPV($G$31,G62:AG62),0)</f>
        <v>4355673</v>
      </c>
      <c r="B62"/>
      <c r="C62"/>
      <c r="D62" s="71"/>
      <c r="E62" s="72" t="s">
        <v>54</v>
      </c>
      <c r="F62" s="73"/>
      <c r="G62" s="85"/>
      <c r="H62" s="88">
        <f>G25*1.03</f>
        <v>307419.45851449977</v>
      </c>
      <c r="I62" s="88">
        <f aca="true" t="shared" si="3" ref="I62:AJ62">I158+I159</f>
        <v>316642.0422699348</v>
      </c>
      <c r="J62" s="88">
        <f t="shared" si="3"/>
        <v>326141.3035380328</v>
      </c>
      <c r="K62" s="88">
        <f t="shared" si="3"/>
        <v>335925.5426441738</v>
      </c>
      <c r="L62" s="88">
        <f t="shared" si="3"/>
        <v>346003.308923499</v>
      </c>
      <c r="M62" s="88">
        <f t="shared" si="3"/>
        <v>356383.408191204</v>
      </c>
      <c r="N62" s="88">
        <f t="shared" si="3"/>
        <v>367074.91043694015</v>
      </c>
      <c r="O62" s="88">
        <f t="shared" si="3"/>
        <v>378087.1577500484</v>
      </c>
      <c r="P62" s="88">
        <f t="shared" si="3"/>
        <v>389429.77248254983</v>
      </c>
      <c r="Q62" s="88">
        <f t="shared" si="3"/>
        <v>401112.66565702634</v>
      </c>
      <c r="R62" s="88">
        <f t="shared" si="3"/>
        <v>413146.0456267371</v>
      </c>
      <c r="S62" s="88">
        <f t="shared" si="3"/>
        <v>425540.4269955392</v>
      </c>
      <c r="T62" s="88">
        <f t="shared" si="3"/>
        <v>438306.6398054054</v>
      </c>
      <c r="U62" s="88">
        <f t="shared" si="3"/>
        <v>451455.83899956755</v>
      </c>
      <c r="V62" s="88">
        <f t="shared" si="3"/>
        <v>464999.5141695546</v>
      </c>
      <c r="W62" s="88">
        <f t="shared" si="3"/>
        <v>478949.4995946412</v>
      </c>
      <c r="X62" s="88">
        <f t="shared" si="3"/>
        <v>493317.98458248045</v>
      </c>
      <c r="Y62" s="88">
        <f t="shared" si="3"/>
        <v>508117.5241199549</v>
      </c>
      <c r="Z62" s="88">
        <f t="shared" si="3"/>
        <v>523361.04984355357</v>
      </c>
      <c r="AA62" s="88">
        <f t="shared" si="3"/>
        <v>539061.8813388601</v>
      </c>
      <c r="AB62" s="88">
        <f t="shared" si="3"/>
        <v>555233.7377790259</v>
      </c>
      <c r="AC62" s="88">
        <f t="shared" si="3"/>
        <v>571890.7499123967</v>
      </c>
      <c r="AD62" s="88">
        <f t="shared" si="3"/>
        <v>589047.4724097686</v>
      </c>
      <c r="AE62" s="88">
        <f t="shared" si="3"/>
        <v>606718.8965820617</v>
      </c>
      <c r="AF62" s="88">
        <f t="shared" si="3"/>
        <v>624920.4634795235</v>
      </c>
      <c r="AG62" s="88">
        <f t="shared" si="3"/>
        <v>643668.0773839093</v>
      </c>
      <c r="AH62" s="88">
        <f t="shared" si="3"/>
        <v>662978.1197054265</v>
      </c>
      <c r="AI62" s="88">
        <f t="shared" si="3"/>
        <v>682867.4632965893</v>
      </c>
      <c r="AJ62" s="88">
        <f t="shared" si="3"/>
        <v>703353.487195487</v>
      </c>
      <c r="AK62" s="89">
        <f>AJ62*1.03</f>
        <v>724454.0918113516</v>
      </c>
    </row>
    <row r="63" spans="1:37" ht="12.75" hidden="1">
      <c r="A63" s="83">
        <f>ROUND(NPV($G$31,G63:AG63),0)</f>
        <v>-1100855</v>
      </c>
      <c r="B63"/>
      <c r="C63"/>
      <c r="D63" s="71"/>
      <c r="E63" s="72" t="s">
        <v>55</v>
      </c>
      <c r="F63" s="73"/>
      <c r="G63" s="85">
        <f aca="true" t="shared" si="4" ref="G63:AF63">-G64</f>
        <v>-101836.91991624229</v>
      </c>
      <c r="H63" s="85">
        <f t="shared" si="4"/>
        <v>-101836.91991624229</v>
      </c>
      <c r="I63" s="85">
        <f t="shared" si="4"/>
        <v>-101836.91991624229</v>
      </c>
      <c r="J63" s="85">
        <f t="shared" si="4"/>
        <v>-101836.91991624229</v>
      </c>
      <c r="K63" s="85">
        <f t="shared" si="4"/>
        <v>-101836.91991624229</v>
      </c>
      <c r="L63" s="85">
        <f t="shared" si="4"/>
        <v>-101836.91991624229</v>
      </c>
      <c r="M63" s="85">
        <f t="shared" si="4"/>
        <v>-101836.91991624229</v>
      </c>
      <c r="N63" s="85">
        <f t="shared" si="4"/>
        <v>-101836.91991624229</v>
      </c>
      <c r="O63" s="85">
        <f t="shared" si="4"/>
        <v>-101836.91991624229</v>
      </c>
      <c r="P63" s="85">
        <f t="shared" si="4"/>
        <v>-101836.91991624229</v>
      </c>
      <c r="Q63" s="85">
        <f t="shared" si="4"/>
        <v>-101836.91991624229</v>
      </c>
      <c r="R63" s="85">
        <f t="shared" si="4"/>
        <v>-101836.91991624229</v>
      </c>
      <c r="S63" s="85">
        <f t="shared" si="4"/>
        <v>-101836.91991624229</v>
      </c>
      <c r="T63" s="85">
        <f t="shared" si="4"/>
        <v>-101836.91991624229</v>
      </c>
      <c r="U63" s="85">
        <f t="shared" si="4"/>
        <v>-101836.91991624229</v>
      </c>
      <c r="V63" s="85">
        <f t="shared" si="4"/>
        <v>-101836.91991624229</v>
      </c>
      <c r="W63" s="85">
        <f t="shared" si="4"/>
        <v>-101836.91991624229</v>
      </c>
      <c r="X63" s="85">
        <f t="shared" si="4"/>
        <v>-101836.91991624229</v>
      </c>
      <c r="Y63" s="85">
        <f t="shared" si="4"/>
        <v>-101836.91991624229</v>
      </c>
      <c r="Z63" s="85">
        <f t="shared" si="4"/>
        <v>-101836.91991624229</v>
      </c>
      <c r="AA63" s="85">
        <f t="shared" si="4"/>
        <v>-101836.91991624229</v>
      </c>
      <c r="AB63" s="85">
        <f t="shared" si="4"/>
        <v>-101836.91991624229</v>
      </c>
      <c r="AC63" s="85">
        <f t="shared" si="4"/>
        <v>-101836.91991624229</v>
      </c>
      <c r="AD63" s="85">
        <f t="shared" si="4"/>
        <v>-101836.91991624229</v>
      </c>
      <c r="AE63" s="85">
        <f t="shared" si="4"/>
        <v>-101836.91991624229</v>
      </c>
      <c r="AF63" s="85">
        <f t="shared" si="4"/>
        <v>-101836.91991624229</v>
      </c>
      <c r="AG63" s="88"/>
      <c r="AH63" s="88"/>
      <c r="AI63" s="88"/>
      <c r="AJ63" s="88"/>
      <c r="AK63" s="89"/>
    </row>
    <row r="64" spans="1:37" ht="12.75" hidden="1">
      <c r="A64" s="83">
        <f>ROUND(NPV($G$31,G64:AG64),0)</f>
        <v>1100855</v>
      </c>
      <c r="B64"/>
      <c r="C64"/>
      <c r="D64" s="71"/>
      <c r="E64" s="72" t="s">
        <v>56</v>
      </c>
      <c r="F64" s="73"/>
      <c r="G64" s="84">
        <v>101836.91991624229</v>
      </c>
      <c r="H64" s="84">
        <v>101836.91991624229</v>
      </c>
      <c r="I64" s="84">
        <v>101836.91991624229</v>
      </c>
      <c r="J64" s="84">
        <v>101836.91991624229</v>
      </c>
      <c r="K64" s="84">
        <v>101836.91991624229</v>
      </c>
      <c r="L64" s="84">
        <v>101836.91991624229</v>
      </c>
      <c r="M64" s="84">
        <v>101836.91991624229</v>
      </c>
      <c r="N64" s="84">
        <v>101836.91991624229</v>
      </c>
      <c r="O64" s="84">
        <v>101836.91991624229</v>
      </c>
      <c r="P64" s="84">
        <v>101836.91991624229</v>
      </c>
      <c r="Q64" s="84">
        <v>101836.91991624229</v>
      </c>
      <c r="R64" s="84">
        <v>101836.91991624229</v>
      </c>
      <c r="S64" s="84">
        <v>101836.91991624229</v>
      </c>
      <c r="T64" s="84">
        <v>101836.91991624229</v>
      </c>
      <c r="U64" s="84">
        <v>101836.91991624229</v>
      </c>
      <c r="V64" s="84">
        <v>101836.91991624229</v>
      </c>
      <c r="W64" s="84">
        <v>101836.91991624229</v>
      </c>
      <c r="X64" s="84">
        <v>101836.91991624229</v>
      </c>
      <c r="Y64" s="84">
        <v>101836.91991624229</v>
      </c>
      <c r="Z64" s="84">
        <v>101836.91991624229</v>
      </c>
      <c r="AA64" s="84">
        <v>101836.91991624229</v>
      </c>
      <c r="AB64" s="84">
        <v>101836.91991624229</v>
      </c>
      <c r="AC64" s="84">
        <v>101836.91991624229</v>
      </c>
      <c r="AD64" s="84">
        <v>101836.91991624229</v>
      </c>
      <c r="AE64" s="84">
        <v>101836.91991624229</v>
      </c>
      <c r="AF64" s="84">
        <v>101836.91991624229</v>
      </c>
      <c r="AG64" s="85">
        <f>AG160</f>
        <v>0</v>
      </c>
      <c r="AH64" s="85">
        <f>AH160</f>
        <v>0</v>
      </c>
      <c r="AI64" s="85">
        <f>AI160</f>
        <v>0</v>
      </c>
      <c r="AJ64" s="85">
        <f>AJ160</f>
        <v>0</v>
      </c>
      <c r="AK64" s="86">
        <f>AK160</f>
        <v>0</v>
      </c>
    </row>
    <row r="65" spans="1:37" ht="12.75">
      <c r="A65" s="83">
        <f>ROUND(NPV($G$31,G65:AG65),0)</f>
        <v>74750864</v>
      </c>
      <c r="B65"/>
      <c r="C65"/>
      <c r="D65" s="71"/>
      <c r="E65" s="90" t="s">
        <v>57</v>
      </c>
      <c r="F65" s="73"/>
      <c r="G65" s="91">
        <f aca="true" t="shared" si="5" ref="G65:AK65">SUM(G60:G64)</f>
        <v>0</v>
      </c>
      <c r="H65" s="91">
        <f t="shared" si="5"/>
        <v>7436731.7085144995</v>
      </c>
      <c r="I65" s="91">
        <f t="shared" si="5"/>
        <v>7450246.792269935</v>
      </c>
      <c r="J65" s="91">
        <f t="shared" si="5"/>
        <v>7458483.553538033</v>
      </c>
      <c r="K65" s="91">
        <f t="shared" si="5"/>
        <v>7466500.292644174</v>
      </c>
      <c r="L65" s="91">
        <f t="shared" si="5"/>
        <v>7479103.058923499</v>
      </c>
      <c r="M65" s="91">
        <f t="shared" si="5"/>
        <v>7485695.658191204</v>
      </c>
      <c r="N65" s="91">
        <f t="shared" si="5"/>
        <v>7496387.16043694</v>
      </c>
      <c r="O65" s="91">
        <f t="shared" si="5"/>
        <v>7510681.907750049</v>
      </c>
      <c r="P65" s="91">
        <f t="shared" si="5"/>
        <v>7523034.52248255</v>
      </c>
      <c r="Q65" s="91">
        <f t="shared" si="5"/>
        <v>7535399.165657027</v>
      </c>
      <c r="R65" s="91">
        <f t="shared" si="5"/>
        <v>7545614.545626737</v>
      </c>
      <c r="S65" s="91">
        <f t="shared" si="5"/>
        <v>7555988.926995539</v>
      </c>
      <c r="T65" s="91">
        <f t="shared" si="5"/>
        <v>7571936.639805405</v>
      </c>
      <c r="U65" s="91">
        <f t="shared" si="5"/>
        <v>7585313.088999568</v>
      </c>
      <c r="V65" s="91">
        <f t="shared" si="5"/>
        <v>7598604.264169554</v>
      </c>
      <c r="W65" s="91">
        <f t="shared" si="5"/>
        <v>7612554.249594641</v>
      </c>
      <c r="X65" s="91">
        <f t="shared" si="5"/>
        <v>7626670.23458248</v>
      </c>
      <c r="Y65" s="91">
        <f t="shared" si="5"/>
        <v>7640459.774119955</v>
      </c>
      <c r="Z65" s="91">
        <f t="shared" si="5"/>
        <v>7653430.799843553</v>
      </c>
      <c r="AA65" s="91">
        <f t="shared" si="5"/>
        <v>7670141.63133886</v>
      </c>
      <c r="AB65" s="91">
        <f t="shared" si="5"/>
        <v>7687904.237779026</v>
      </c>
      <c r="AC65" s="91">
        <f t="shared" si="5"/>
        <v>7704258.249912397</v>
      </c>
      <c r="AD65" s="91">
        <f t="shared" si="5"/>
        <v>7719394.972409769</v>
      </c>
      <c r="AE65" s="91">
        <f t="shared" si="5"/>
        <v>7740853.896582061</v>
      </c>
      <c r="AF65" s="91">
        <f t="shared" si="5"/>
        <v>7757540.463479524</v>
      </c>
      <c r="AG65" s="91">
        <f t="shared" si="5"/>
        <v>2441215.5773839094</v>
      </c>
      <c r="AH65" s="91">
        <f t="shared" si="5"/>
        <v>662978.1197054265</v>
      </c>
      <c r="AI65" s="91">
        <f t="shared" si="5"/>
        <v>682867.4632965893</v>
      </c>
      <c r="AJ65" s="91">
        <f t="shared" si="5"/>
        <v>703353.487195487</v>
      </c>
      <c r="AK65" s="92">
        <f t="shared" si="5"/>
        <v>724454.0918113516</v>
      </c>
    </row>
    <row r="66" spans="2:37" ht="12.75">
      <c r="B66"/>
      <c r="C66"/>
      <c r="D66" s="71"/>
      <c r="E66" s="72"/>
      <c r="F66" s="73"/>
      <c r="G66" s="85"/>
      <c r="H66" s="74"/>
      <c r="I66" s="74"/>
      <c r="J66" s="74"/>
      <c r="K66" s="74"/>
      <c r="L66" s="74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82"/>
    </row>
    <row r="67" spans="2:37" ht="13.5" thickBot="1">
      <c r="B67"/>
      <c r="C67"/>
      <c r="D67" s="71"/>
      <c r="E67" s="81" t="s">
        <v>58</v>
      </c>
      <c r="F67" s="73"/>
      <c r="G67" s="85"/>
      <c r="H67" s="74"/>
      <c r="I67" s="74"/>
      <c r="J67" s="74"/>
      <c r="K67" s="74"/>
      <c r="L67" s="74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82"/>
    </row>
    <row r="68" spans="1:37" ht="13.5" thickBot="1">
      <c r="A68" s="83">
        <f>ROUND(NPV($G$31,G68:AG68),0)</f>
        <v>73695968</v>
      </c>
      <c r="B68"/>
      <c r="C68"/>
      <c r="D68" s="71"/>
      <c r="E68" s="72" t="s">
        <v>59</v>
      </c>
      <c r="F68" s="73"/>
      <c r="G68" s="93">
        <f>G107</f>
        <v>355339.6720251143</v>
      </c>
      <c r="H68" s="85">
        <f aca="true" t="shared" si="6" ref="H68:AK68">H100</f>
        <v>5592426.828299999</v>
      </c>
      <c r="I68" s="85">
        <f t="shared" si="6"/>
        <v>5760199.633149</v>
      </c>
      <c r="J68" s="85">
        <f t="shared" si="6"/>
        <v>5933005.622143472</v>
      </c>
      <c r="K68" s="85">
        <f t="shared" si="6"/>
        <v>6110995.790807773</v>
      </c>
      <c r="L68" s="85">
        <f t="shared" si="6"/>
        <v>6294325.664532007</v>
      </c>
      <c r="M68" s="85">
        <f t="shared" si="6"/>
        <v>6483155.434467968</v>
      </c>
      <c r="N68" s="85">
        <f t="shared" si="6"/>
        <v>6677650.097502006</v>
      </c>
      <c r="O68" s="85">
        <f t="shared" si="6"/>
        <v>6877979.600427067</v>
      </c>
      <c r="P68" s="85">
        <f t="shared" si="6"/>
        <v>7084318.988439879</v>
      </c>
      <c r="Q68" s="85">
        <f t="shared" si="6"/>
        <v>7296848.558093077</v>
      </c>
      <c r="R68" s="85">
        <f t="shared" si="6"/>
        <v>7515754.01483587</v>
      </c>
      <c r="S68" s="85">
        <f t="shared" si="6"/>
        <v>7741226.635280944</v>
      </c>
      <c r="T68" s="85">
        <f t="shared" si="6"/>
        <v>7973463.434339373</v>
      </c>
      <c r="U68" s="85">
        <f t="shared" si="6"/>
        <v>8212667.337369555</v>
      </c>
      <c r="V68" s="85">
        <f t="shared" si="6"/>
        <v>8459047.357490642</v>
      </c>
      <c r="W68" s="85">
        <f t="shared" si="6"/>
        <v>8712818.778215362</v>
      </c>
      <c r="X68" s="85">
        <f t="shared" si="6"/>
        <v>8974203.341561822</v>
      </c>
      <c r="Y68" s="85">
        <f t="shared" si="6"/>
        <v>9243429.441808676</v>
      </c>
      <c r="Z68" s="85">
        <f t="shared" si="6"/>
        <v>9520732.32506294</v>
      </c>
      <c r="AA68" s="85">
        <f t="shared" si="6"/>
        <v>9806354.294814827</v>
      </c>
      <c r="AB68" s="85">
        <f t="shared" si="6"/>
        <v>10100544.92365927</v>
      </c>
      <c r="AC68" s="85">
        <f t="shared" si="6"/>
        <v>10403561.27136905</v>
      </c>
      <c r="AD68" s="85">
        <f t="shared" si="6"/>
        <v>10715668.109510118</v>
      </c>
      <c r="AE68" s="85">
        <f t="shared" si="6"/>
        <v>11037138.152795425</v>
      </c>
      <c r="AF68" s="85">
        <f t="shared" si="6"/>
        <v>11368252.297379285</v>
      </c>
      <c r="AG68" s="85">
        <f t="shared" si="6"/>
        <v>11709299.866300667</v>
      </c>
      <c r="AH68" s="85">
        <f t="shared" si="6"/>
        <v>12060578.862289686</v>
      </c>
      <c r="AI68" s="85">
        <f t="shared" si="6"/>
        <v>12422396.228158377</v>
      </c>
      <c r="AJ68" s="85">
        <f t="shared" si="6"/>
        <v>12795068.115003128</v>
      </c>
      <c r="AK68" s="86">
        <f t="shared" si="6"/>
        <v>13178920.158453222</v>
      </c>
    </row>
    <row r="69" spans="1:37" ht="12.75">
      <c r="A69" s="83">
        <f>ROUND(NPV($G$31,G69:AG69),0)</f>
        <v>4072044</v>
      </c>
      <c r="B69"/>
      <c r="C69"/>
      <c r="D69" s="71"/>
      <c r="E69" s="72" t="s">
        <v>60</v>
      </c>
      <c r="F69" s="73"/>
      <c r="G69" s="85">
        <f>G169*0.75*G101</f>
        <v>69475.66027397261</v>
      </c>
      <c r="H69" s="85">
        <f aca="true" t="shared" si="7" ref="H69:AJ69">H169</f>
        <v>305489.76</v>
      </c>
      <c r="I69" s="85">
        <f t="shared" si="7"/>
        <v>314654.4528</v>
      </c>
      <c r="J69" s="85">
        <f t="shared" si="7"/>
        <v>324094.086384</v>
      </c>
      <c r="K69" s="85">
        <f t="shared" si="7"/>
        <v>333816.90897552005</v>
      </c>
      <c r="L69" s="85">
        <f t="shared" si="7"/>
        <v>343831.41624478565</v>
      </c>
      <c r="M69" s="85">
        <f t="shared" si="7"/>
        <v>354146.3587321292</v>
      </c>
      <c r="N69" s="85">
        <f t="shared" si="7"/>
        <v>364770.7494940931</v>
      </c>
      <c r="O69" s="85">
        <f t="shared" si="7"/>
        <v>375713.87197891594</v>
      </c>
      <c r="P69" s="85">
        <f t="shared" si="7"/>
        <v>386985.2881382834</v>
      </c>
      <c r="Q69" s="85">
        <f t="shared" si="7"/>
        <v>398594.84678243194</v>
      </c>
      <c r="R69" s="85">
        <f t="shared" si="7"/>
        <v>410552.6921859049</v>
      </c>
      <c r="S69" s="85">
        <f t="shared" si="7"/>
        <v>422869.27295148204</v>
      </c>
      <c r="T69" s="85">
        <f t="shared" si="7"/>
        <v>435555.3511400265</v>
      </c>
      <c r="U69" s="85">
        <f t="shared" si="7"/>
        <v>448622.0116742273</v>
      </c>
      <c r="V69" s="85">
        <f t="shared" si="7"/>
        <v>462080.67202445416</v>
      </c>
      <c r="W69" s="85">
        <f t="shared" si="7"/>
        <v>475943.0921851878</v>
      </c>
      <c r="X69" s="85">
        <f t="shared" si="7"/>
        <v>490221.38495074346</v>
      </c>
      <c r="Y69" s="85">
        <f t="shared" si="7"/>
        <v>504928.0264992658</v>
      </c>
      <c r="Z69" s="85">
        <f t="shared" si="7"/>
        <v>520075.86729424377</v>
      </c>
      <c r="AA69" s="85">
        <f t="shared" si="7"/>
        <v>535678.1433130711</v>
      </c>
      <c r="AB69" s="85">
        <f t="shared" si="7"/>
        <v>551748.4876124633</v>
      </c>
      <c r="AC69" s="85">
        <f t="shared" si="7"/>
        <v>568300.9422408373</v>
      </c>
      <c r="AD69" s="85">
        <f t="shared" si="7"/>
        <v>585349.9705080624</v>
      </c>
      <c r="AE69" s="85">
        <f t="shared" si="7"/>
        <v>602910.4696233043</v>
      </c>
      <c r="AF69" s="85">
        <f t="shared" si="7"/>
        <v>620997.7837120035</v>
      </c>
      <c r="AG69" s="85">
        <f t="shared" si="7"/>
        <v>639627.7172233636</v>
      </c>
      <c r="AH69" s="85">
        <f t="shared" si="7"/>
        <v>658816.5487400645</v>
      </c>
      <c r="AI69" s="85">
        <f t="shared" si="7"/>
        <v>678581.0452022664</v>
      </c>
      <c r="AJ69" s="85">
        <f t="shared" si="7"/>
        <v>698938.4765583344</v>
      </c>
      <c r="AK69" s="86">
        <f>AJ69*1.03</f>
        <v>719906.6308550845</v>
      </c>
    </row>
    <row r="70" spans="1:37" ht="12.75">
      <c r="A70" s="83">
        <f>ROUND(NPV($G$31,G70:AG70),0)</f>
        <v>19335285</v>
      </c>
      <c r="B70"/>
      <c r="C70"/>
      <c r="D70" s="71"/>
      <c r="E70" s="72" t="s">
        <v>61</v>
      </c>
      <c r="F70" s="73"/>
      <c r="G70" s="88">
        <f aca="true" t="shared" si="8" ref="G70:AJ70">G168</f>
        <v>1068070.261</v>
      </c>
      <c r="H70" s="88">
        <f t="shared" si="8"/>
        <v>1398456.8578299999</v>
      </c>
      <c r="I70" s="88">
        <f t="shared" si="8"/>
        <v>1440410.5635649</v>
      </c>
      <c r="J70" s="88">
        <f t="shared" si="8"/>
        <v>1483622.880471847</v>
      </c>
      <c r="K70" s="88">
        <f t="shared" si="8"/>
        <v>1528131.5668860027</v>
      </c>
      <c r="L70" s="88">
        <f t="shared" si="8"/>
        <v>1573975.5138925829</v>
      </c>
      <c r="M70" s="88">
        <f t="shared" si="8"/>
        <v>1621194.7793093603</v>
      </c>
      <c r="N70" s="88">
        <f t="shared" si="8"/>
        <v>1669830.6226886413</v>
      </c>
      <c r="O70" s="88">
        <f t="shared" si="8"/>
        <v>1719925.5413693006</v>
      </c>
      <c r="P70" s="88">
        <f t="shared" si="8"/>
        <v>1771523.3076103795</v>
      </c>
      <c r="Q70" s="88">
        <f t="shared" si="8"/>
        <v>1824669.0068386914</v>
      </c>
      <c r="R70" s="88">
        <f t="shared" si="8"/>
        <v>1879409.0770438518</v>
      </c>
      <c r="S70" s="88">
        <f t="shared" si="8"/>
        <v>1935791.3493551672</v>
      </c>
      <c r="T70" s="88">
        <f t="shared" si="8"/>
        <v>1993865.089835823</v>
      </c>
      <c r="U70" s="88">
        <f t="shared" si="8"/>
        <v>2053681.042530898</v>
      </c>
      <c r="V70" s="88">
        <f t="shared" si="8"/>
        <v>2115291.473806825</v>
      </c>
      <c r="W70" s="88">
        <f t="shared" si="8"/>
        <v>2178750.21802103</v>
      </c>
      <c r="X70" s="88">
        <f t="shared" si="8"/>
        <v>2244112.7245616615</v>
      </c>
      <c r="Y70" s="88">
        <f t="shared" si="8"/>
        <v>2311436.106298512</v>
      </c>
      <c r="Z70" s="88">
        <f t="shared" si="8"/>
        <v>2380779.1894874666</v>
      </c>
      <c r="AA70" s="88">
        <f t="shared" si="8"/>
        <v>2452202.5651720907</v>
      </c>
      <c r="AB70" s="88">
        <f t="shared" si="8"/>
        <v>2525768.6421272536</v>
      </c>
      <c r="AC70" s="88">
        <f t="shared" si="8"/>
        <v>2601541.701391071</v>
      </c>
      <c r="AD70" s="88">
        <f t="shared" si="8"/>
        <v>2679587.9524328024</v>
      </c>
      <c r="AE70" s="88">
        <f t="shared" si="8"/>
        <v>2759975.5910057873</v>
      </c>
      <c r="AF70" s="88">
        <f t="shared" si="8"/>
        <v>2842774.8587359614</v>
      </c>
      <c r="AG70" s="88">
        <f t="shared" si="8"/>
        <v>2928058.1044980404</v>
      </c>
      <c r="AH70" s="88">
        <f t="shared" si="8"/>
        <v>3015899.847632982</v>
      </c>
      <c r="AI70" s="88">
        <f t="shared" si="8"/>
        <v>3106376.8430619715</v>
      </c>
      <c r="AJ70" s="88">
        <f t="shared" si="8"/>
        <v>3199568.1483538314</v>
      </c>
      <c r="AK70" s="89">
        <f>AJ70*1.03</f>
        <v>3295555.1928044464</v>
      </c>
    </row>
    <row r="71" spans="1:37" ht="12.75">
      <c r="A71" s="83">
        <f>ROUND(NPV($G$31,G71:AG71),0)</f>
        <v>97103297</v>
      </c>
      <c r="B71"/>
      <c r="C71"/>
      <c r="D71" s="71"/>
      <c r="E71" s="90" t="s">
        <v>62</v>
      </c>
      <c r="F71" s="73"/>
      <c r="G71" s="91">
        <f aca="true" t="shared" si="9" ref="G71:AK71">SUM(G68:G70)</f>
        <v>1492885.593299087</v>
      </c>
      <c r="H71" s="91">
        <f t="shared" si="9"/>
        <v>7296373.446129999</v>
      </c>
      <c r="I71" s="91">
        <f t="shared" si="9"/>
        <v>7515264.6495139</v>
      </c>
      <c r="J71" s="91">
        <f t="shared" si="9"/>
        <v>7740722.588999319</v>
      </c>
      <c r="K71" s="91">
        <f t="shared" si="9"/>
        <v>7972944.266669296</v>
      </c>
      <c r="L71" s="91">
        <f t="shared" si="9"/>
        <v>8212132.594669375</v>
      </c>
      <c r="M71" s="91">
        <f t="shared" si="9"/>
        <v>8458496.572509456</v>
      </c>
      <c r="N71" s="91">
        <f t="shared" si="9"/>
        <v>8712251.46968474</v>
      </c>
      <c r="O71" s="91">
        <f t="shared" si="9"/>
        <v>8973619.013775283</v>
      </c>
      <c r="P71" s="91">
        <f t="shared" si="9"/>
        <v>9242827.584188543</v>
      </c>
      <c r="Q71" s="91">
        <f t="shared" si="9"/>
        <v>9520112.4117142</v>
      </c>
      <c r="R71" s="91">
        <f t="shared" si="9"/>
        <v>9805715.784065627</v>
      </c>
      <c r="S71" s="91">
        <f t="shared" si="9"/>
        <v>10099887.257587593</v>
      </c>
      <c r="T71" s="91">
        <f t="shared" si="9"/>
        <v>10402883.875315223</v>
      </c>
      <c r="U71" s="91">
        <f t="shared" si="9"/>
        <v>10714970.39157468</v>
      </c>
      <c r="V71" s="91">
        <f t="shared" si="9"/>
        <v>11036419.503321921</v>
      </c>
      <c r="W71" s="91">
        <f t="shared" si="9"/>
        <v>11367512.08842158</v>
      </c>
      <c r="X71" s="91">
        <f t="shared" si="9"/>
        <v>11708537.451074228</v>
      </c>
      <c r="Y71" s="91">
        <f t="shared" si="9"/>
        <v>12059793.574606454</v>
      </c>
      <c r="Z71" s="91">
        <f t="shared" si="9"/>
        <v>12421587.381844651</v>
      </c>
      <c r="AA71" s="91">
        <f t="shared" si="9"/>
        <v>12794235.003299989</v>
      </c>
      <c r="AB71" s="91">
        <f t="shared" si="9"/>
        <v>13178062.053398987</v>
      </c>
      <c r="AC71" s="91">
        <f t="shared" si="9"/>
        <v>13573403.915000958</v>
      </c>
      <c r="AD71" s="91">
        <f t="shared" si="9"/>
        <v>13980606.032450983</v>
      </c>
      <c r="AE71" s="91">
        <f t="shared" si="9"/>
        <v>14400024.213424517</v>
      </c>
      <c r="AF71" s="91">
        <f t="shared" si="9"/>
        <v>14832024.93982725</v>
      </c>
      <c r="AG71" s="91">
        <f t="shared" si="9"/>
        <v>15276985.68802207</v>
      </c>
      <c r="AH71" s="91">
        <f t="shared" si="9"/>
        <v>15735295.258662732</v>
      </c>
      <c r="AI71" s="91">
        <f t="shared" si="9"/>
        <v>16207354.116422616</v>
      </c>
      <c r="AJ71" s="91">
        <f t="shared" si="9"/>
        <v>16693574.739915295</v>
      </c>
      <c r="AK71" s="92">
        <f t="shared" si="9"/>
        <v>17194381.982112754</v>
      </c>
    </row>
    <row r="72" spans="2:37" ht="12.75">
      <c r="B72"/>
      <c r="C72"/>
      <c r="D72" s="94" t="s">
        <v>63</v>
      </c>
      <c r="E72" s="72"/>
      <c r="F72" s="73"/>
      <c r="G72" s="74"/>
      <c r="H72" s="74"/>
      <c r="I72" s="74"/>
      <c r="J72" s="74"/>
      <c r="K72" s="74"/>
      <c r="L72" s="74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82"/>
    </row>
    <row r="73" spans="1:37" ht="18.75">
      <c r="A73" s="83">
        <f>ROUND(NPV($G$31,G73:AG73),0)</f>
        <v>22352433</v>
      </c>
      <c r="B73"/>
      <c r="C73"/>
      <c r="D73" s="95">
        <f>ROUND(A73,-5)</f>
        <v>22400000</v>
      </c>
      <c r="E73" s="72" t="s">
        <v>64</v>
      </c>
      <c r="F73" s="73"/>
      <c r="G73" s="91">
        <f aca="true" t="shared" si="10" ref="G73:AK73">G71-G65</f>
        <v>1492885.593299087</v>
      </c>
      <c r="H73" s="91">
        <f t="shared" si="10"/>
        <v>-140358.26238450035</v>
      </c>
      <c r="I73" s="91">
        <f t="shared" si="10"/>
        <v>65017.85724396538</v>
      </c>
      <c r="J73" s="91">
        <f t="shared" si="10"/>
        <v>282239.0354612861</v>
      </c>
      <c r="K73" s="91">
        <f t="shared" si="10"/>
        <v>506443.9740251219</v>
      </c>
      <c r="L73" s="91">
        <f t="shared" si="10"/>
        <v>733029.5357458759</v>
      </c>
      <c r="M73" s="91">
        <f t="shared" si="10"/>
        <v>972800.9143182524</v>
      </c>
      <c r="N73" s="91">
        <f t="shared" si="10"/>
        <v>1215864.3092478001</v>
      </c>
      <c r="O73" s="91">
        <f t="shared" si="10"/>
        <v>1462937.1060252348</v>
      </c>
      <c r="P73" s="91">
        <f t="shared" si="10"/>
        <v>1719793.0617059935</v>
      </c>
      <c r="Q73" s="91">
        <f t="shared" si="10"/>
        <v>1984713.2460571732</v>
      </c>
      <c r="R73" s="91">
        <f t="shared" si="10"/>
        <v>2260101.2384388894</v>
      </c>
      <c r="S73" s="91">
        <f t="shared" si="10"/>
        <v>2543898.330592054</v>
      </c>
      <c r="T73" s="91">
        <f t="shared" si="10"/>
        <v>2830947.2355098175</v>
      </c>
      <c r="U73" s="91">
        <f t="shared" si="10"/>
        <v>3129657.3025751133</v>
      </c>
      <c r="V73" s="91">
        <f t="shared" si="10"/>
        <v>3437815.239152367</v>
      </c>
      <c r="W73" s="91">
        <f t="shared" si="10"/>
        <v>3754957.8388269385</v>
      </c>
      <c r="X73" s="91">
        <f t="shared" si="10"/>
        <v>4081867.2164917476</v>
      </c>
      <c r="Y73" s="91">
        <f t="shared" si="10"/>
        <v>4419333.800486499</v>
      </c>
      <c r="Z73" s="91">
        <f t="shared" si="10"/>
        <v>4768156.5820010975</v>
      </c>
      <c r="AA73" s="91">
        <f t="shared" si="10"/>
        <v>5124093.371961129</v>
      </c>
      <c r="AB73" s="91">
        <f t="shared" si="10"/>
        <v>5490157.815619961</v>
      </c>
      <c r="AC73" s="91">
        <f t="shared" si="10"/>
        <v>5869145.665088561</v>
      </c>
      <c r="AD73" s="91">
        <f t="shared" si="10"/>
        <v>6261211.060041214</v>
      </c>
      <c r="AE73" s="91">
        <f t="shared" si="10"/>
        <v>6659170.316842455</v>
      </c>
      <c r="AF73" s="91">
        <f t="shared" si="10"/>
        <v>7074484.476347727</v>
      </c>
      <c r="AG73" s="91">
        <f t="shared" si="10"/>
        <v>12835770.11063816</v>
      </c>
      <c r="AH73" s="91">
        <f t="shared" si="10"/>
        <v>15072317.138957307</v>
      </c>
      <c r="AI73" s="91">
        <f t="shared" si="10"/>
        <v>15524486.653126027</v>
      </c>
      <c r="AJ73" s="91">
        <f t="shared" si="10"/>
        <v>15990221.252719808</v>
      </c>
      <c r="AK73" s="92">
        <f t="shared" si="10"/>
        <v>16469927.890301403</v>
      </c>
    </row>
    <row r="74" spans="2:37" ht="12.75">
      <c r="B74"/>
      <c r="C74"/>
      <c r="D74" s="71"/>
      <c r="E74" s="72" t="s">
        <v>65</v>
      </c>
      <c r="F74" s="73"/>
      <c r="G74" s="85">
        <f>G73</f>
        <v>1492885.593299087</v>
      </c>
      <c r="H74" s="85">
        <f aca="true" t="shared" si="11" ref="H74:AK74">H73+G74</f>
        <v>1352527.3309145865</v>
      </c>
      <c r="I74" s="85">
        <f t="shared" si="11"/>
        <v>1417545.188158552</v>
      </c>
      <c r="J74" s="85">
        <f t="shared" si="11"/>
        <v>1699784.223619838</v>
      </c>
      <c r="K74" s="85">
        <f t="shared" si="11"/>
        <v>2206228.19764496</v>
      </c>
      <c r="L74" s="85">
        <f t="shared" si="11"/>
        <v>2939257.733390836</v>
      </c>
      <c r="M74" s="85">
        <f t="shared" si="11"/>
        <v>3912058.6477090884</v>
      </c>
      <c r="N74" s="85">
        <f t="shared" si="11"/>
        <v>5127922.956956889</v>
      </c>
      <c r="O74" s="85">
        <f t="shared" si="11"/>
        <v>6590860.062982123</v>
      </c>
      <c r="P74" s="85">
        <f t="shared" si="11"/>
        <v>8310653.124688117</v>
      </c>
      <c r="Q74" s="85">
        <f t="shared" si="11"/>
        <v>10295366.37074529</v>
      </c>
      <c r="R74" s="85">
        <f t="shared" si="11"/>
        <v>12555467.60918418</v>
      </c>
      <c r="S74" s="85">
        <f t="shared" si="11"/>
        <v>15099365.939776234</v>
      </c>
      <c r="T74" s="85">
        <f t="shared" si="11"/>
        <v>17930313.17528605</v>
      </c>
      <c r="U74" s="85">
        <f t="shared" si="11"/>
        <v>21059970.477861166</v>
      </c>
      <c r="V74" s="85">
        <f t="shared" si="11"/>
        <v>24497785.717013534</v>
      </c>
      <c r="W74" s="85">
        <f t="shared" si="11"/>
        <v>28252743.555840474</v>
      </c>
      <c r="X74" s="85">
        <f t="shared" si="11"/>
        <v>32334610.77233222</v>
      </c>
      <c r="Y74" s="85">
        <f t="shared" si="11"/>
        <v>36753944.57281872</v>
      </c>
      <c r="Z74" s="85">
        <f t="shared" si="11"/>
        <v>41522101.15481982</v>
      </c>
      <c r="AA74" s="85">
        <f t="shared" si="11"/>
        <v>46646194.52678095</v>
      </c>
      <c r="AB74" s="85">
        <f t="shared" si="11"/>
        <v>52136352.34240091</v>
      </c>
      <c r="AC74" s="85">
        <f t="shared" si="11"/>
        <v>58005498.00748947</v>
      </c>
      <c r="AD74" s="85">
        <f t="shared" si="11"/>
        <v>64266709.067530684</v>
      </c>
      <c r="AE74" s="85">
        <f t="shared" si="11"/>
        <v>70925879.38437314</v>
      </c>
      <c r="AF74" s="85">
        <f t="shared" si="11"/>
        <v>78000363.86072087</v>
      </c>
      <c r="AG74" s="85">
        <f t="shared" si="11"/>
        <v>90836133.97135903</v>
      </c>
      <c r="AH74" s="85">
        <f t="shared" si="11"/>
        <v>105908451.11031634</v>
      </c>
      <c r="AI74" s="85">
        <f t="shared" si="11"/>
        <v>121432937.76344237</v>
      </c>
      <c r="AJ74" s="85">
        <f t="shared" si="11"/>
        <v>137423159.0161622</v>
      </c>
      <c r="AK74" s="86">
        <f t="shared" si="11"/>
        <v>153893086.9064636</v>
      </c>
    </row>
    <row r="75" spans="2:37" ht="13.5" thickBot="1">
      <c r="B75"/>
      <c r="C75"/>
      <c r="D75" s="71"/>
      <c r="E75" s="72"/>
      <c r="F75" s="73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6"/>
    </row>
    <row r="76" spans="2:37" ht="13.5" hidden="1" thickBot="1">
      <c r="B76" s="96"/>
      <c r="C76" s="97"/>
      <c r="D76" s="96"/>
      <c r="E76" s="72"/>
      <c r="F76" s="73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6"/>
    </row>
    <row r="77" spans="2:37" ht="13.5" hidden="1" thickBot="1">
      <c r="B77" s="96"/>
      <c r="C77" s="97"/>
      <c r="D77" s="96"/>
      <c r="E77" s="72" t="s">
        <v>66</v>
      </c>
      <c r="F77" s="73"/>
      <c r="G77" s="91">
        <f>'[1]Lease Space vacated and rents'!G38</f>
        <v>295135</v>
      </c>
      <c r="H77" s="74"/>
      <c r="I77" s="74"/>
      <c r="J77" s="74"/>
      <c r="K77" s="74"/>
      <c r="L77" s="74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82"/>
    </row>
    <row r="78" spans="2:37" ht="13.5" hidden="1" thickBot="1">
      <c r="B78" s="96"/>
      <c r="C78" s="97"/>
      <c r="D78" s="96"/>
      <c r="E78" s="72"/>
      <c r="F78" s="73"/>
      <c r="G78" s="78">
        <f aca="true" t="shared" si="12" ref="G78:AK78">G58</f>
        <v>2007</v>
      </c>
      <c r="H78" s="78">
        <f t="shared" si="12"/>
        <v>2008</v>
      </c>
      <c r="I78" s="78">
        <f t="shared" si="12"/>
        <v>2009</v>
      </c>
      <c r="J78" s="78">
        <f t="shared" si="12"/>
        <v>2010</v>
      </c>
      <c r="K78" s="78">
        <f t="shared" si="12"/>
        <v>2011</v>
      </c>
      <c r="L78" s="78">
        <f t="shared" si="12"/>
        <v>2012</v>
      </c>
      <c r="M78" s="78">
        <f t="shared" si="12"/>
        <v>2013</v>
      </c>
      <c r="N78" s="78">
        <f t="shared" si="12"/>
        <v>2014</v>
      </c>
      <c r="O78" s="78">
        <f t="shared" si="12"/>
        <v>2015</v>
      </c>
      <c r="P78" s="78">
        <f t="shared" si="12"/>
        <v>2016</v>
      </c>
      <c r="Q78" s="78">
        <f t="shared" si="12"/>
        <v>2017</v>
      </c>
      <c r="R78" s="78">
        <f t="shared" si="12"/>
        <v>2018</v>
      </c>
      <c r="S78" s="78">
        <f t="shared" si="12"/>
        <v>2019</v>
      </c>
      <c r="T78" s="78">
        <f t="shared" si="12"/>
        <v>2020</v>
      </c>
      <c r="U78" s="78">
        <f t="shared" si="12"/>
        <v>2021</v>
      </c>
      <c r="V78" s="78">
        <f t="shared" si="12"/>
        <v>2022</v>
      </c>
      <c r="W78" s="78">
        <f t="shared" si="12"/>
        <v>2023</v>
      </c>
      <c r="X78" s="78">
        <f t="shared" si="12"/>
        <v>2024</v>
      </c>
      <c r="Y78" s="78">
        <f t="shared" si="12"/>
        <v>2025</v>
      </c>
      <c r="Z78" s="78">
        <f t="shared" si="12"/>
        <v>2026</v>
      </c>
      <c r="AA78" s="78">
        <f t="shared" si="12"/>
        <v>2027</v>
      </c>
      <c r="AB78" s="78">
        <f t="shared" si="12"/>
        <v>2028</v>
      </c>
      <c r="AC78" s="78">
        <f t="shared" si="12"/>
        <v>2029</v>
      </c>
      <c r="AD78" s="78">
        <f t="shared" si="12"/>
        <v>2030</v>
      </c>
      <c r="AE78" s="78">
        <f t="shared" si="12"/>
        <v>2031</v>
      </c>
      <c r="AF78" s="78">
        <f t="shared" si="12"/>
        <v>2032</v>
      </c>
      <c r="AG78" s="78">
        <f t="shared" si="12"/>
        <v>2033</v>
      </c>
      <c r="AH78" s="78">
        <f t="shared" si="12"/>
        <v>2034</v>
      </c>
      <c r="AI78" s="78">
        <f t="shared" si="12"/>
        <v>2035</v>
      </c>
      <c r="AJ78" s="78">
        <f t="shared" si="12"/>
        <v>2036</v>
      </c>
      <c r="AK78" s="98">
        <f t="shared" si="12"/>
        <v>2037</v>
      </c>
    </row>
    <row r="79" spans="2:37" ht="13.5" hidden="1" thickBot="1">
      <c r="B79" s="96"/>
      <c r="C79" s="97"/>
      <c r="D79" s="96"/>
      <c r="E79" s="72" t="s">
        <v>67</v>
      </c>
      <c r="F79" s="73"/>
      <c r="G79" s="74"/>
      <c r="H79" s="74"/>
      <c r="I79" s="74"/>
      <c r="J79" s="74"/>
      <c r="K79" s="74"/>
      <c r="L79" s="74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82"/>
    </row>
    <row r="80" spans="2:69" ht="13.5" hidden="1" thickBot="1">
      <c r="B80" s="96"/>
      <c r="C80" s="97"/>
      <c r="D80" s="96"/>
      <c r="E80" s="72" t="s">
        <v>68</v>
      </c>
      <c r="F80" s="73"/>
      <c r="G80" s="85">
        <f aca="true" t="shared" si="13" ref="G80:AL80">G165</f>
        <v>3680482.6369833336</v>
      </c>
      <c r="H80" s="85">
        <f t="shared" si="13"/>
        <v>5643293.414139249</v>
      </c>
      <c r="I80" s="85">
        <f t="shared" si="13"/>
        <v>5795967.501763428</v>
      </c>
      <c r="J80" s="85">
        <f t="shared" si="13"/>
        <v>5952889.317720329</v>
      </c>
      <c r="K80" s="85">
        <f t="shared" si="13"/>
        <v>6114179.643974021</v>
      </c>
      <c r="L80" s="85">
        <f t="shared" si="13"/>
        <v>6279962.752949762</v>
      </c>
      <c r="M80" s="85">
        <f t="shared" si="13"/>
        <v>6450366.509587906</v>
      </c>
      <c r="N80" s="85">
        <f t="shared" si="13"/>
        <v>6643877.504875544</v>
      </c>
      <c r="O80" s="85">
        <f t="shared" si="13"/>
        <v>6843193.830021812</v>
      </c>
      <c r="P80" s="85">
        <f t="shared" si="13"/>
        <v>7048489.644922467</v>
      </c>
      <c r="Q80" s="85">
        <f t="shared" si="13"/>
        <v>7259944.33427014</v>
      </c>
      <c r="R80" s="85">
        <f t="shared" si="13"/>
        <v>7477742.664298244</v>
      </c>
      <c r="S80" s="85">
        <f t="shared" si="13"/>
        <v>7702074.9442271935</v>
      </c>
      <c r="T80" s="85">
        <f t="shared" si="13"/>
        <v>7933137.192554008</v>
      </c>
      <c r="U80" s="85">
        <f t="shared" si="13"/>
        <v>8171131.308330627</v>
      </c>
      <c r="V80" s="85">
        <f t="shared" si="13"/>
        <v>8416265.247580549</v>
      </c>
      <c r="W80" s="85">
        <f t="shared" si="13"/>
        <v>8668753.205007965</v>
      </c>
      <c r="X80" s="85">
        <f t="shared" si="13"/>
        <v>8928815.801158205</v>
      </c>
      <c r="Y80" s="85">
        <f t="shared" si="13"/>
        <v>9196680.275192948</v>
      </c>
      <c r="Z80" s="85">
        <f t="shared" si="13"/>
        <v>9472580.683448737</v>
      </c>
      <c r="AA80" s="85">
        <f t="shared" si="13"/>
        <v>9756758.103952201</v>
      </c>
      <c r="AB80" s="85">
        <f t="shared" si="13"/>
        <v>10049460.847070768</v>
      </c>
      <c r="AC80" s="85">
        <f t="shared" si="13"/>
        <v>10350944.67248289</v>
      </c>
      <c r="AD80" s="85">
        <f t="shared" si="13"/>
        <v>10661473.012657376</v>
      </c>
      <c r="AE80" s="85">
        <f t="shared" si="13"/>
        <v>10981317.203037098</v>
      </c>
      <c r="AF80" s="85">
        <f t="shared" si="13"/>
        <v>11310756.719128208</v>
      </c>
      <c r="AG80" s="85">
        <f t="shared" si="13"/>
        <v>11650079.42070206</v>
      </c>
      <c r="AH80" s="85">
        <f t="shared" si="13"/>
        <v>11999581.803323124</v>
      </c>
      <c r="AI80" s="85">
        <f t="shared" si="13"/>
        <v>12359569.257422812</v>
      </c>
      <c r="AJ80" s="85">
        <f t="shared" si="13"/>
        <v>12730356.3351455</v>
      </c>
      <c r="AK80" s="86">
        <f t="shared" si="13"/>
        <v>0</v>
      </c>
      <c r="AL80" s="30">
        <f t="shared" si="13"/>
        <v>0</v>
      </c>
      <c r="AM80" s="30">
        <f aca="true" t="shared" si="14" ref="AM80:BQ80">AM165</f>
        <v>0</v>
      </c>
      <c r="AN80" s="30">
        <f t="shared" si="14"/>
        <v>0</v>
      </c>
      <c r="AO80" s="30">
        <f t="shared" si="14"/>
        <v>0</v>
      </c>
      <c r="AP80" s="30">
        <f t="shared" si="14"/>
        <v>0</v>
      </c>
      <c r="AQ80" s="30">
        <f t="shared" si="14"/>
        <v>0</v>
      </c>
      <c r="AR80" s="30">
        <f t="shared" si="14"/>
        <v>0</v>
      </c>
      <c r="AS80" s="30">
        <f t="shared" si="14"/>
        <v>0</v>
      </c>
      <c r="AT80" s="30">
        <f t="shared" si="14"/>
        <v>0</v>
      </c>
      <c r="AU80" s="30">
        <f t="shared" si="14"/>
        <v>0</v>
      </c>
      <c r="AV80" s="30">
        <f t="shared" si="14"/>
        <v>0</v>
      </c>
      <c r="AW80" s="30">
        <f t="shared" si="14"/>
        <v>0</v>
      </c>
      <c r="AX80" s="30">
        <f t="shared" si="14"/>
        <v>0</v>
      </c>
      <c r="AY80" s="30">
        <f t="shared" si="14"/>
        <v>0</v>
      </c>
      <c r="AZ80" s="30">
        <f t="shared" si="14"/>
        <v>0</v>
      </c>
      <c r="BA80" s="30">
        <f t="shared" si="14"/>
        <v>0</v>
      </c>
      <c r="BB80" s="30">
        <f t="shared" si="14"/>
        <v>0</v>
      </c>
      <c r="BC80" s="30">
        <f t="shared" si="14"/>
        <v>0</v>
      </c>
      <c r="BD80" s="30">
        <f t="shared" si="14"/>
        <v>0</v>
      </c>
      <c r="BE80" s="30">
        <f t="shared" si="14"/>
        <v>0</v>
      </c>
      <c r="BF80" s="30">
        <f t="shared" si="14"/>
        <v>0</v>
      </c>
      <c r="BG80" s="30">
        <f t="shared" si="14"/>
        <v>0</v>
      </c>
      <c r="BH80" s="30">
        <f t="shared" si="14"/>
        <v>0</v>
      </c>
      <c r="BI80" s="30">
        <f t="shared" si="14"/>
        <v>0</v>
      </c>
      <c r="BJ80" s="30">
        <f t="shared" si="14"/>
        <v>0</v>
      </c>
      <c r="BK80" s="30">
        <f t="shared" si="14"/>
        <v>0</v>
      </c>
      <c r="BL80" s="30">
        <f t="shared" si="14"/>
        <v>0</v>
      </c>
      <c r="BM80" s="30">
        <f t="shared" si="14"/>
        <v>0</v>
      </c>
      <c r="BN80" s="30">
        <f t="shared" si="14"/>
        <v>0</v>
      </c>
      <c r="BO80" s="30">
        <f t="shared" si="14"/>
        <v>0</v>
      </c>
      <c r="BP80" s="30">
        <f t="shared" si="14"/>
        <v>0</v>
      </c>
      <c r="BQ80" s="30">
        <f t="shared" si="14"/>
        <v>0</v>
      </c>
    </row>
    <row r="81" spans="1:69" ht="12.75">
      <c r="A81" s="99"/>
      <c r="C81" s="100" t="s">
        <v>69</v>
      </c>
      <c r="D81" s="101"/>
      <c r="E81" s="102">
        <v>38930</v>
      </c>
      <c r="F81" s="103">
        <v>39082</v>
      </c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5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</row>
    <row r="82" spans="1:69" ht="22.5">
      <c r="A82" s="106"/>
      <c r="B82" s="107"/>
      <c r="C82" s="107"/>
      <c r="D82" s="106"/>
      <c r="E82" s="108" t="s">
        <v>70</v>
      </c>
      <c r="F82" s="109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29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</row>
    <row r="83" spans="1:69" ht="16.5" thickBot="1">
      <c r="A83" s="106" t="s">
        <v>71</v>
      </c>
      <c r="B83" s="111" t="s">
        <v>72</v>
      </c>
      <c r="C83" s="111" t="s">
        <v>73</v>
      </c>
      <c r="D83" s="112"/>
      <c r="E83" s="111" t="s">
        <v>74</v>
      </c>
      <c r="F83" s="113" t="s">
        <v>75</v>
      </c>
      <c r="G83" s="114">
        <v>2007</v>
      </c>
      <c r="H83" s="114">
        <v>2008</v>
      </c>
      <c r="I83" s="114">
        <v>2009</v>
      </c>
      <c r="J83" s="114">
        <v>2010</v>
      </c>
      <c r="K83" s="114">
        <v>2011</v>
      </c>
      <c r="L83" s="114">
        <v>2012</v>
      </c>
      <c r="M83" s="114">
        <v>2013</v>
      </c>
      <c r="N83" s="114">
        <v>2014</v>
      </c>
      <c r="O83" s="114">
        <v>2015</v>
      </c>
      <c r="P83" s="114">
        <v>2016</v>
      </c>
      <c r="Q83" s="114">
        <v>2017</v>
      </c>
      <c r="R83" s="114">
        <v>2018</v>
      </c>
      <c r="S83" s="114">
        <v>2019</v>
      </c>
      <c r="T83" s="114">
        <v>2020</v>
      </c>
      <c r="U83" s="114">
        <v>2021</v>
      </c>
      <c r="V83" s="114">
        <v>2022</v>
      </c>
      <c r="W83" s="114">
        <v>2023</v>
      </c>
      <c r="X83" s="114">
        <v>2024</v>
      </c>
      <c r="Y83" s="114">
        <v>2025</v>
      </c>
      <c r="Z83" s="114">
        <v>2026</v>
      </c>
      <c r="AA83" s="114">
        <v>2027</v>
      </c>
      <c r="AB83" s="114">
        <v>2028</v>
      </c>
      <c r="AC83" s="114">
        <v>2029</v>
      </c>
      <c r="AD83" s="114">
        <v>2030</v>
      </c>
      <c r="AE83" s="114">
        <v>2031</v>
      </c>
      <c r="AF83" s="114">
        <v>2032</v>
      </c>
      <c r="AG83" s="114">
        <v>2033</v>
      </c>
      <c r="AH83" s="114">
        <v>2034</v>
      </c>
      <c r="AI83" s="114">
        <v>2035</v>
      </c>
      <c r="AJ83" s="114">
        <v>2036</v>
      </c>
      <c r="AK83" s="115">
        <v>2037</v>
      </c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</row>
    <row r="84" spans="1:69" ht="12.75">
      <c r="A84" s="116"/>
      <c r="B84" s="107" t="s">
        <v>76</v>
      </c>
      <c r="C84" s="117"/>
      <c r="D84" s="118"/>
      <c r="E84" s="119" t="s">
        <v>77</v>
      </c>
      <c r="F84" s="120">
        <v>41531</v>
      </c>
      <c r="G84" s="121">
        <f>'[1]Worksheet from Kamma'!L6+'[1]Worksheet from Kamma'!L7</f>
        <v>1086174.3599999999</v>
      </c>
      <c r="H84" s="110">
        <f aca="true" t="shared" si="15" ref="H84:AK84">G84*1.03</f>
        <v>1118759.5908</v>
      </c>
      <c r="I84" s="110">
        <f t="shared" si="15"/>
        <v>1152322.3785239998</v>
      </c>
      <c r="J84" s="110">
        <f t="shared" si="15"/>
        <v>1186892.0498797197</v>
      </c>
      <c r="K84" s="110">
        <f t="shared" si="15"/>
        <v>1222498.8113761113</v>
      </c>
      <c r="L84" s="110">
        <f t="shared" si="15"/>
        <v>1259173.7757173947</v>
      </c>
      <c r="M84" s="110">
        <f t="shared" si="15"/>
        <v>1296948.9889889166</v>
      </c>
      <c r="N84" s="110">
        <f t="shared" si="15"/>
        <v>1335857.4586585842</v>
      </c>
      <c r="O84" s="110">
        <f t="shared" si="15"/>
        <v>1375933.1824183417</v>
      </c>
      <c r="P84" s="110">
        <f t="shared" si="15"/>
        <v>1417211.1778908921</v>
      </c>
      <c r="Q84" s="110">
        <f t="shared" si="15"/>
        <v>1459727.513227619</v>
      </c>
      <c r="R84" s="110">
        <f t="shared" si="15"/>
        <v>1503519.3386244476</v>
      </c>
      <c r="S84" s="110">
        <f t="shared" si="15"/>
        <v>1548624.918783181</v>
      </c>
      <c r="T84" s="110">
        <f t="shared" si="15"/>
        <v>1595083.6663466766</v>
      </c>
      <c r="U84" s="110">
        <f t="shared" si="15"/>
        <v>1642936.176337077</v>
      </c>
      <c r="V84" s="110">
        <f t="shared" si="15"/>
        <v>1692224.2616271893</v>
      </c>
      <c r="W84" s="110">
        <f t="shared" si="15"/>
        <v>1742990.989476005</v>
      </c>
      <c r="X84" s="110">
        <f t="shared" si="15"/>
        <v>1795280.7191602853</v>
      </c>
      <c r="Y84" s="110">
        <f t="shared" si="15"/>
        <v>1849139.140735094</v>
      </c>
      <c r="Z84" s="110">
        <f t="shared" si="15"/>
        <v>1904613.3149571468</v>
      </c>
      <c r="AA84" s="110">
        <f t="shared" si="15"/>
        <v>1961751.7144058612</v>
      </c>
      <c r="AB84" s="110">
        <f t="shared" si="15"/>
        <v>2020604.265838037</v>
      </c>
      <c r="AC84" s="110">
        <f t="shared" si="15"/>
        <v>2081222.3938131782</v>
      </c>
      <c r="AD84" s="110">
        <f t="shared" si="15"/>
        <v>2143659.0656275735</v>
      </c>
      <c r="AE84" s="110">
        <f t="shared" si="15"/>
        <v>2207968.8375964006</v>
      </c>
      <c r="AF84" s="110">
        <f t="shared" si="15"/>
        <v>2274207.9027242926</v>
      </c>
      <c r="AG84" s="110">
        <f t="shared" si="15"/>
        <v>2342434.1398060215</v>
      </c>
      <c r="AH84" s="110">
        <f t="shared" si="15"/>
        <v>2412707.164000202</v>
      </c>
      <c r="AI84" s="110">
        <f t="shared" si="15"/>
        <v>2485088.378920208</v>
      </c>
      <c r="AJ84" s="110">
        <f t="shared" si="15"/>
        <v>2559641.0302878143</v>
      </c>
      <c r="AK84" s="29">
        <f t="shared" si="15"/>
        <v>2636430.261196449</v>
      </c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</row>
    <row r="85" spans="1:69" ht="12.75">
      <c r="A85" s="116"/>
      <c r="B85" s="107" t="s">
        <v>78</v>
      </c>
      <c r="C85" s="117"/>
      <c r="D85" s="118"/>
      <c r="E85" s="122" t="s">
        <v>79</v>
      </c>
      <c r="F85" s="46">
        <v>103387</v>
      </c>
      <c r="G85" s="123">
        <f>'[1]Worksheet from Kamma'!L3</f>
        <v>1477699.85</v>
      </c>
      <c r="H85" s="110">
        <f aca="true" t="shared" si="16" ref="H85:AK85">G85*1.03</f>
        <v>1522030.8455</v>
      </c>
      <c r="I85" s="110">
        <f t="shared" si="16"/>
        <v>1567691.770865</v>
      </c>
      <c r="J85" s="110">
        <f t="shared" si="16"/>
        <v>1614722.52399095</v>
      </c>
      <c r="K85" s="110">
        <f t="shared" si="16"/>
        <v>1663164.1997106785</v>
      </c>
      <c r="L85" s="110">
        <f t="shared" si="16"/>
        <v>1713059.125701999</v>
      </c>
      <c r="M85" s="110">
        <f t="shared" si="16"/>
        <v>1764450.899473059</v>
      </c>
      <c r="N85" s="110">
        <f t="shared" si="16"/>
        <v>1817384.4264572507</v>
      </c>
      <c r="O85" s="110">
        <f t="shared" si="16"/>
        <v>1871905.9592509682</v>
      </c>
      <c r="P85" s="110">
        <f t="shared" si="16"/>
        <v>1928063.1380284973</v>
      </c>
      <c r="Q85" s="110">
        <f t="shared" si="16"/>
        <v>1985905.0321693523</v>
      </c>
      <c r="R85" s="110">
        <f t="shared" si="16"/>
        <v>2045482.1831344329</v>
      </c>
      <c r="S85" s="110">
        <f t="shared" si="16"/>
        <v>2106846.648628466</v>
      </c>
      <c r="T85" s="110">
        <f t="shared" si="16"/>
        <v>2170052.04808732</v>
      </c>
      <c r="U85" s="110">
        <f t="shared" si="16"/>
        <v>2235153.6095299395</v>
      </c>
      <c r="V85" s="110">
        <f t="shared" si="16"/>
        <v>2302208.217815838</v>
      </c>
      <c r="W85" s="110">
        <f t="shared" si="16"/>
        <v>2371274.464350313</v>
      </c>
      <c r="X85" s="110">
        <f t="shared" si="16"/>
        <v>2442412.6982808225</v>
      </c>
      <c r="Y85" s="110">
        <f t="shared" si="16"/>
        <v>2515685.0792292473</v>
      </c>
      <c r="Z85" s="110">
        <f t="shared" si="16"/>
        <v>2591155.631606125</v>
      </c>
      <c r="AA85" s="110">
        <f t="shared" si="16"/>
        <v>2668890.3005543086</v>
      </c>
      <c r="AB85" s="110">
        <f t="shared" si="16"/>
        <v>2748957.009570938</v>
      </c>
      <c r="AC85" s="110">
        <f t="shared" si="16"/>
        <v>2831425.719858066</v>
      </c>
      <c r="AD85" s="110">
        <f t="shared" si="16"/>
        <v>2916368.4914538083</v>
      </c>
      <c r="AE85" s="110">
        <f t="shared" si="16"/>
        <v>3003859.546197423</v>
      </c>
      <c r="AF85" s="110">
        <f t="shared" si="16"/>
        <v>3093975.3325833455</v>
      </c>
      <c r="AG85" s="110">
        <f t="shared" si="16"/>
        <v>3186794.592560846</v>
      </c>
      <c r="AH85" s="110">
        <f t="shared" si="16"/>
        <v>3282398.430337671</v>
      </c>
      <c r="AI85" s="110">
        <f t="shared" si="16"/>
        <v>3380870.3832478016</v>
      </c>
      <c r="AJ85" s="110">
        <f t="shared" si="16"/>
        <v>3482296.494745236</v>
      </c>
      <c r="AK85" s="29">
        <f t="shared" si="16"/>
        <v>3586765.3895875933</v>
      </c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</row>
    <row r="86" spans="1:69" ht="12.75">
      <c r="A86" s="116"/>
      <c r="B86" s="107" t="s">
        <v>80</v>
      </c>
      <c r="C86" s="117"/>
      <c r="D86" s="118"/>
      <c r="E86" s="96" t="s">
        <v>81</v>
      </c>
      <c r="F86" s="46">
        <v>37448</v>
      </c>
      <c r="G86" s="123">
        <f>'[1]Worksheet from Kamma'!L8+'[1]Worksheet from Kamma'!L9</f>
        <v>973354.1199999999</v>
      </c>
      <c r="H86" s="110">
        <f aca="true" t="shared" si="17" ref="H86:AK86">G86*1.03</f>
        <v>1002554.7435999999</v>
      </c>
      <c r="I86" s="110">
        <f t="shared" si="17"/>
        <v>1032631.3859079999</v>
      </c>
      <c r="J86" s="110">
        <f t="shared" si="17"/>
        <v>1063610.32748524</v>
      </c>
      <c r="K86" s="110">
        <f t="shared" si="17"/>
        <v>1095518.6373097973</v>
      </c>
      <c r="L86" s="110">
        <f t="shared" si="17"/>
        <v>1128384.1964290913</v>
      </c>
      <c r="M86" s="110">
        <f t="shared" si="17"/>
        <v>1162235.722321964</v>
      </c>
      <c r="N86" s="110">
        <f t="shared" si="17"/>
        <v>1197102.793991623</v>
      </c>
      <c r="O86" s="110">
        <f t="shared" si="17"/>
        <v>1233015.8778113718</v>
      </c>
      <c r="P86" s="110">
        <f t="shared" si="17"/>
        <v>1270006.354145713</v>
      </c>
      <c r="Q86" s="110">
        <f t="shared" si="17"/>
        <v>1308106.5447700843</v>
      </c>
      <c r="R86" s="110">
        <f t="shared" si="17"/>
        <v>1347349.7411131868</v>
      </c>
      <c r="S86" s="110">
        <f t="shared" si="17"/>
        <v>1387770.2333465824</v>
      </c>
      <c r="T86" s="110">
        <f t="shared" si="17"/>
        <v>1429403.34034698</v>
      </c>
      <c r="U86" s="110">
        <f t="shared" si="17"/>
        <v>1472285.4405573893</v>
      </c>
      <c r="V86" s="110">
        <f t="shared" si="17"/>
        <v>1516454.003774111</v>
      </c>
      <c r="W86" s="110">
        <f t="shared" si="17"/>
        <v>1561947.6238873343</v>
      </c>
      <c r="X86" s="110">
        <f t="shared" si="17"/>
        <v>1608806.0526039542</v>
      </c>
      <c r="Y86" s="110">
        <f t="shared" si="17"/>
        <v>1657070.2341820728</v>
      </c>
      <c r="Z86" s="110">
        <f t="shared" si="17"/>
        <v>1706782.341207535</v>
      </c>
      <c r="AA86" s="110">
        <f t="shared" si="17"/>
        <v>1757985.811443761</v>
      </c>
      <c r="AB86" s="110">
        <f t="shared" si="17"/>
        <v>1810725.3857870738</v>
      </c>
      <c r="AC86" s="110">
        <f t="shared" si="17"/>
        <v>1865047.147360686</v>
      </c>
      <c r="AD86" s="110">
        <f t="shared" si="17"/>
        <v>1920998.5617815065</v>
      </c>
      <c r="AE86" s="110">
        <f t="shared" si="17"/>
        <v>1978628.5186349517</v>
      </c>
      <c r="AF86" s="110">
        <f t="shared" si="17"/>
        <v>2037987.3741940004</v>
      </c>
      <c r="AG86" s="110">
        <f t="shared" si="17"/>
        <v>2099126.9954198203</v>
      </c>
      <c r="AH86" s="110">
        <f t="shared" si="17"/>
        <v>2162100.805282415</v>
      </c>
      <c r="AI86" s="110">
        <f t="shared" si="17"/>
        <v>2226963.8294408876</v>
      </c>
      <c r="AJ86" s="110">
        <f t="shared" si="17"/>
        <v>2293772.744324114</v>
      </c>
      <c r="AK86" s="29">
        <f t="shared" si="17"/>
        <v>2362585.926653838</v>
      </c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</row>
    <row r="87" spans="1:69" ht="13.5" thickBot="1">
      <c r="A87" s="116"/>
      <c r="B87" s="107" t="s">
        <v>82</v>
      </c>
      <c r="C87" s="117"/>
      <c r="D87" s="118"/>
      <c r="E87" s="124" t="s">
        <v>83</v>
      </c>
      <c r="F87" s="125">
        <v>41419</v>
      </c>
      <c r="G87" s="126">
        <f>'[1]Worksheet from Kamma'!L4+'[1]Worksheet from Kamma'!L5</f>
        <v>759107.54</v>
      </c>
      <c r="H87" s="110">
        <f aca="true" t="shared" si="18" ref="H87:AK87">G87*1.03</f>
        <v>781880.7662000001</v>
      </c>
      <c r="I87" s="110">
        <f t="shared" si="18"/>
        <v>805337.1891860001</v>
      </c>
      <c r="J87" s="110">
        <f t="shared" si="18"/>
        <v>829497.3048615801</v>
      </c>
      <c r="K87" s="110">
        <f t="shared" si="18"/>
        <v>854382.2240074276</v>
      </c>
      <c r="L87" s="110">
        <f t="shared" si="18"/>
        <v>880013.6907276504</v>
      </c>
      <c r="M87" s="110">
        <f t="shared" si="18"/>
        <v>906414.1014494799</v>
      </c>
      <c r="N87" s="110">
        <f t="shared" si="18"/>
        <v>933606.5244929644</v>
      </c>
      <c r="O87" s="110">
        <f t="shared" si="18"/>
        <v>961614.7202277534</v>
      </c>
      <c r="P87" s="110">
        <f t="shared" si="18"/>
        <v>990463.1618345861</v>
      </c>
      <c r="Q87" s="110">
        <f t="shared" si="18"/>
        <v>1020177.0566896236</v>
      </c>
      <c r="R87" s="110">
        <f t="shared" si="18"/>
        <v>1050782.3683903124</v>
      </c>
      <c r="S87" s="110">
        <f t="shared" si="18"/>
        <v>1082305.839442022</v>
      </c>
      <c r="T87" s="110">
        <f t="shared" si="18"/>
        <v>1114775.0146252825</v>
      </c>
      <c r="U87" s="110">
        <f t="shared" si="18"/>
        <v>1148218.265064041</v>
      </c>
      <c r="V87" s="110">
        <f t="shared" si="18"/>
        <v>1182664.8130159623</v>
      </c>
      <c r="W87" s="110">
        <f t="shared" si="18"/>
        <v>1218144.7574064413</v>
      </c>
      <c r="X87" s="110">
        <f t="shared" si="18"/>
        <v>1254689.1001286346</v>
      </c>
      <c r="Y87" s="110">
        <f t="shared" si="18"/>
        <v>1292329.7731324937</v>
      </c>
      <c r="Z87" s="110">
        <f t="shared" si="18"/>
        <v>1331099.6663264686</v>
      </c>
      <c r="AA87" s="110">
        <f t="shared" si="18"/>
        <v>1371032.6563162627</v>
      </c>
      <c r="AB87" s="110">
        <f t="shared" si="18"/>
        <v>1412163.6360057506</v>
      </c>
      <c r="AC87" s="110">
        <f t="shared" si="18"/>
        <v>1454528.5450859233</v>
      </c>
      <c r="AD87" s="110">
        <f t="shared" si="18"/>
        <v>1498164.401438501</v>
      </c>
      <c r="AE87" s="110">
        <f t="shared" si="18"/>
        <v>1543109.333481656</v>
      </c>
      <c r="AF87" s="110">
        <f t="shared" si="18"/>
        <v>1589402.6134861056</v>
      </c>
      <c r="AG87" s="110">
        <f t="shared" si="18"/>
        <v>1637084.6918906888</v>
      </c>
      <c r="AH87" s="110">
        <f t="shared" si="18"/>
        <v>1686197.2326474097</v>
      </c>
      <c r="AI87" s="110">
        <f t="shared" si="18"/>
        <v>1736783.149626832</v>
      </c>
      <c r="AJ87" s="110">
        <f t="shared" si="18"/>
        <v>1788886.644115637</v>
      </c>
      <c r="AK87" s="29">
        <f t="shared" si="18"/>
        <v>1842553.2434391063</v>
      </c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</row>
    <row r="88" spans="1:69" ht="12.75">
      <c r="A88" s="116"/>
      <c r="B88" s="107" t="s">
        <v>84</v>
      </c>
      <c r="C88" s="117"/>
      <c r="D88" s="118"/>
      <c r="E88" s="97" t="s">
        <v>85</v>
      </c>
      <c r="F88" s="46">
        <v>2844</v>
      </c>
      <c r="G88" s="84">
        <f>'[1]Worksheet from Kamma'!L11</f>
        <v>68358.24</v>
      </c>
      <c r="H88" s="110">
        <f aca="true" t="shared" si="19" ref="H88:AK88">G88*1.03</f>
        <v>70408.9872</v>
      </c>
      <c r="I88" s="110">
        <f t="shared" si="19"/>
        <v>72521.25681600001</v>
      </c>
      <c r="J88" s="110">
        <f t="shared" si="19"/>
        <v>74696.89452048001</v>
      </c>
      <c r="K88" s="110">
        <f t="shared" si="19"/>
        <v>76937.80135609441</v>
      </c>
      <c r="L88" s="110">
        <f t="shared" si="19"/>
        <v>79245.93539677725</v>
      </c>
      <c r="M88" s="110">
        <f t="shared" si="19"/>
        <v>81623.31345868057</v>
      </c>
      <c r="N88" s="110">
        <f t="shared" si="19"/>
        <v>84072.01286244098</v>
      </c>
      <c r="O88" s="110">
        <f t="shared" si="19"/>
        <v>86594.17324831421</v>
      </c>
      <c r="P88" s="110">
        <f t="shared" si="19"/>
        <v>89191.99844576365</v>
      </c>
      <c r="Q88" s="110">
        <f t="shared" si="19"/>
        <v>91867.75839913655</v>
      </c>
      <c r="R88" s="110">
        <f t="shared" si="19"/>
        <v>94623.79115111065</v>
      </c>
      <c r="S88" s="110">
        <f t="shared" si="19"/>
        <v>97462.50488564397</v>
      </c>
      <c r="T88" s="110">
        <f t="shared" si="19"/>
        <v>100386.38003221329</v>
      </c>
      <c r="U88" s="110">
        <f t="shared" si="19"/>
        <v>103397.97143317969</v>
      </c>
      <c r="V88" s="110">
        <f t="shared" si="19"/>
        <v>106499.91057617508</v>
      </c>
      <c r="W88" s="110">
        <f t="shared" si="19"/>
        <v>109694.90789346035</v>
      </c>
      <c r="X88" s="110">
        <f t="shared" si="19"/>
        <v>112985.75513026417</v>
      </c>
      <c r="Y88" s="110">
        <f t="shared" si="19"/>
        <v>116375.3277841721</v>
      </c>
      <c r="Z88" s="110">
        <f t="shared" si="19"/>
        <v>119866.58761769727</v>
      </c>
      <c r="AA88" s="110">
        <f t="shared" si="19"/>
        <v>123462.58524622819</v>
      </c>
      <c r="AB88" s="110">
        <f t="shared" si="19"/>
        <v>127166.46280361504</v>
      </c>
      <c r="AC88" s="110">
        <f t="shared" si="19"/>
        <v>130981.45668772349</v>
      </c>
      <c r="AD88" s="110">
        <f t="shared" si="19"/>
        <v>134910.9003883552</v>
      </c>
      <c r="AE88" s="110">
        <f t="shared" si="19"/>
        <v>138958.22740000585</v>
      </c>
      <c r="AF88" s="110">
        <f t="shared" si="19"/>
        <v>143126.97422200604</v>
      </c>
      <c r="AG88" s="110">
        <f t="shared" si="19"/>
        <v>147420.78344866622</v>
      </c>
      <c r="AH88" s="110">
        <f t="shared" si="19"/>
        <v>151843.4069521262</v>
      </c>
      <c r="AI88" s="110">
        <f t="shared" si="19"/>
        <v>156398.70916069</v>
      </c>
      <c r="AJ88" s="110">
        <f t="shared" si="19"/>
        <v>161090.6704355107</v>
      </c>
      <c r="AK88" s="29">
        <f t="shared" si="19"/>
        <v>165923.39054857602</v>
      </c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</row>
    <row r="89" spans="1:69" ht="12.75">
      <c r="A89" s="116"/>
      <c r="B89" s="107" t="s">
        <v>84</v>
      </c>
      <c r="C89" s="117"/>
      <c r="D89" s="118"/>
      <c r="E89" s="97" t="s">
        <v>86</v>
      </c>
      <c r="F89" s="46">
        <v>708</v>
      </c>
      <c r="G89" s="84">
        <f>'[1]Worksheet from Kamma'!L10</f>
        <v>6665</v>
      </c>
      <c r="H89" s="110">
        <f aca="true" t="shared" si="20" ref="H89:AK89">G89*1.03</f>
        <v>6864.95</v>
      </c>
      <c r="I89" s="110">
        <f t="shared" si="20"/>
        <v>7070.8985</v>
      </c>
      <c r="J89" s="110">
        <f t="shared" si="20"/>
        <v>7283.025455000001</v>
      </c>
      <c r="K89" s="110">
        <f t="shared" si="20"/>
        <v>7501.516218650001</v>
      </c>
      <c r="L89" s="110">
        <f t="shared" si="20"/>
        <v>7726.561705209501</v>
      </c>
      <c r="M89" s="110">
        <f t="shared" si="20"/>
        <v>7958.358556365786</v>
      </c>
      <c r="N89" s="110">
        <f t="shared" si="20"/>
        <v>8197.10931305676</v>
      </c>
      <c r="O89" s="110">
        <f t="shared" si="20"/>
        <v>8443.022592448464</v>
      </c>
      <c r="P89" s="110">
        <f t="shared" si="20"/>
        <v>8696.313270221917</v>
      </c>
      <c r="Q89" s="110">
        <f t="shared" si="20"/>
        <v>8957.202668328575</v>
      </c>
      <c r="R89" s="110">
        <f t="shared" si="20"/>
        <v>9225.918748378432</v>
      </c>
      <c r="S89" s="110">
        <f t="shared" si="20"/>
        <v>9502.696310829784</v>
      </c>
      <c r="T89" s="110">
        <f t="shared" si="20"/>
        <v>9787.777200154678</v>
      </c>
      <c r="U89" s="110">
        <f t="shared" si="20"/>
        <v>10081.410516159318</v>
      </c>
      <c r="V89" s="110">
        <f t="shared" si="20"/>
        <v>10383.852831644097</v>
      </c>
      <c r="W89" s="110">
        <f t="shared" si="20"/>
        <v>10695.368416593421</v>
      </c>
      <c r="X89" s="110">
        <f t="shared" si="20"/>
        <v>11016.229469091224</v>
      </c>
      <c r="Y89" s="110">
        <f t="shared" si="20"/>
        <v>11346.716353163962</v>
      </c>
      <c r="Z89" s="110">
        <f t="shared" si="20"/>
        <v>11687.11784375888</v>
      </c>
      <c r="AA89" s="110">
        <f t="shared" si="20"/>
        <v>12037.731379071647</v>
      </c>
      <c r="AB89" s="110">
        <f t="shared" si="20"/>
        <v>12398.863320443797</v>
      </c>
      <c r="AC89" s="110">
        <f t="shared" si="20"/>
        <v>12770.829220057112</v>
      </c>
      <c r="AD89" s="110">
        <f t="shared" si="20"/>
        <v>13153.954096658827</v>
      </c>
      <c r="AE89" s="110">
        <f t="shared" si="20"/>
        <v>13548.572719558591</v>
      </c>
      <c r="AF89" s="110">
        <f t="shared" si="20"/>
        <v>13955.02990114535</v>
      </c>
      <c r="AG89" s="110">
        <f t="shared" si="20"/>
        <v>14373.68079817971</v>
      </c>
      <c r="AH89" s="110">
        <f t="shared" si="20"/>
        <v>14804.891222125101</v>
      </c>
      <c r="AI89" s="110">
        <f t="shared" si="20"/>
        <v>15249.037958788855</v>
      </c>
      <c r="AJ89" s="110">
        <f t="shared" si="20"/>
        <v>15706.50909755252</v>
      </c>
      <c r="AK89" s="29">
        <f t="shared" si="20"/>
        <v>16177.704370479096</v>
      </c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</row>
    <row r="90" spans="1:69" ht="12.75">
      <c r="A90" s="116"/>
      <c r="B90" s="107" t="s">
        <v>87</v>
      </c>
      <c r="C90" s="117"/>
      <c r="D90" s="118"/>
      <c r="E90" s="97" t="s">
        <v>88</v>
      </c>
      <c r="F90" s="46">
        <v>2072</v>
      </c>
      <c r="G90" s="84">
        <f>'[1]Worksheet from Kamma'!L12</f>
        <v>33152</v>
      </c>
      <c r="H90" s="110">
        <f aca="true" t="shared" si="21" ref="H90:AK90">G90*1.03</f>
        <v>34146.56</v>
      </c>
      <c r="I90" s="110">
        <f t="shared" si="21"/>
        <v>35170.9568</v>
      </c>
      <c r="J90" s="110">
        <f t="shared" si="21"/>
        <v>36226.085504</v>
      </c>
      <c r="K90" s="110">
        <f t="shared" si="21"/>
        <v>37312.868069120006</v>
      </c>
      <c r="L90" s="110">
        <f t="shared" si="21"/>
        <v>38432.25411119361</v>
      </c>
      <c r="M90" s="110">
        <f t="shared" si="21"/>
        <v>39585.22173452942</v>
      </c>
      <c r="N90" s="110">
        <f t="shared" si="21"/>
        <v>40772.778386565304</v>
      </c>
      <c r="O90" s="110">
        <f t="shared" si="21"/>
        <v>41995.96173816227</v>
      </c>
      <c r="P90" s="110">
        <f t="shared" si="21"/>
        <v>43255.84059030713</v>
      </c>
      <c r="Q90" s="110">
        <f t="shared" si="21"/>
        <v>44553.515808016346</v>
      </c>
      <c r="R90" s="110">
        <f t="shared" si="21"/>
        <v>45890.121282256834</v>
      </c>
      <c r="S90" s="110">
        <f t="shared" si="21"/>
        <v>47266.82492072454</v>
      </c>
      <c r="T90" s="110">
        <f t="shared" si="21"/>
        <v>48684.829668346276</v>
      </c>
      <c r="U90" s="110">
        <f t="shared" si="21"/>
        <v>50145.37455839667</v>
      </c>
      <c r="V90" s="110">
        <f t="shared" si="21"/>
        <v>51649.73579514857</v>
      </c>
      <c r="W90" s="110">
        <f t="shared" si="21"/>
        <v>53199.22786900303</v>
      </c>
      <c r="X90" s="110">
        <f t="shared" si="21"/>
        <v>54795.20470507312</v>
      </c>
      <c r="Y90" s="110">
        <f t="shared" si="21"/>
        <v>56439.060846225315</v>
      </c>
      <c r="Z90" s="110">
        <f t="shared" si="21"/>
        <v>58132.23267161207</v>
      </c>
      <c r="AA90" s="110">
        <f t="shared" si="21"/>
        <v>59876.199651760435</v>
      </c>
      <c r="AB90" s="110">
        <f t="shared" si="21"/>
        <v>61672.48564131325</v>
      </c>
      <c r="AC90" s="110">
        <f t="shared" si="21"/>
        <v>63522.66021055265</v>
      </c>
      <c r="AD90" s="110">
        <f t="shared" si="21"/>
        <v>65428.34001686923</v>
      </c>
      <c r="AE90" s="110">
        <f t="shared" si="21"/>
        <v>67391.1902173753</v>
      </c>
      <c r="AF90" s="110">
        <f t="shared" si="21"/>
        <v>69412.92592389656</v>
      </c>
      <c r="AG90" s="110">
        <f t="shared" si="21"/>
        <v>71495.31370161346</v>
      </c>
      <c r="AH90" s="110">
        <f t="shared" si="21"/>
        <v>73640.17311266187</v>
      </c>
      <c r="AI90" s="110">
        <f t="shared" si="21"/>
        <v>75849.37830604173</v>
      </c>
      <c r="AJ90" s="110">
        <f t="shared" si="21"/>
        <v>78124.85965522299</v>
      </c>
      <c r="AK90" s="29">
        <f t="shared" si="21"/>
        <v>80468.60544487968</v>
      </c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</row>
    <row r="91" spans="1:69" ht="12.75">
      <c r="A91" s="116"/>
      <c r="B91" s="107"/>
      <c r="C91" s="117"/>
      <c r="D91" s="118"/>
      <c r="E91" s="97"/>
      <c r="F91" s="46"/>
      <c r="G91" s="110"/>
      <c r="H91" s="110">
        <f aca="true" t="shared" si="22" ref="H91:AK91">G91*1.03</f>
        <v>0</v>
      </c>
      <c r="I91" s="110">
        <f t="shared" si="22"/>
        <v>0</v>
      </c>
      <c r="J91" s="110">
        <f t="shared" si="22"/>
        <v>0</v>
      </c>
      <c r="K91" s="110">
        <f t="shared" si="22"/>
        <v>0</v>
      </c>
      <c r="L91" s="110">
        <f t="shared" si="22"/>
        <v>0</v>
      </c>
      <c r="M91" s="110">
        <f t="shared" si="22"/>
        <v>0</v>
      </c>
      <c r="N91" s="110">
        <f t="shared" si="22"/>
        <v>0</v>
      </c>
      <c r="O91" s="110">
        <f t="shared" si="22"/>
        <v>0</v>
      </c>
      <c r="P91" s="110">
        <f t="shared" si="22"/>
        <v>0</v>
      </c>
      <c r="Q91" s="110">
        <f t="shared" si="22"/>
        <v>0</v>
      </c>
      <c r="R91" s="110">
        <f t="shared" si="22"/>
        <v>0</v>
      </c>
      <c r="S91" s="110">
        <f t="shared" si="22"/>
        <v>0</v>
      </c>
      <c r="T91" s="110">
        <f t="shared" si="22"/>
        <v>0</v>
      </c>
      <c r="U91" s="110">
        <f t="shared" si="22"/>
        <v>0</v>
      </c>
      <c r="V91" s="110">
        <f t="shared" si="22"/>
        <v>0</v>
      </c>
      <c r="W91" s="110">
        <f t="shared" si="22"/>
        <v>0</v>
      </c>
      <c r="X91" s="110">
        <f t="shared" si="22"/>
        <v>0</v>
      </c>
      <c r="Y91" s="110">
        <f t="shared" si="22"/>
        <v>0</v>
      </c>
      <c r="Z91" s="110">
        <f t="shared" si="22"/>
        <v>0</v>
      </c>
      <c r="AA91" s="110">
        <f t="shared" si="22"/>
        <v>0</v>
      </c>
      <c r="AB91" s="110">
        <f t="shared" si="22"/>
        <v>0</v>
      </c>
      <c r="AC91" s="110">
        <f t="shared" si="22"/>
        <v>0</v>
      </c>
      <c r="AD91" s="110">
        <f t="shared" si="22"/>
        <v>0</v>
      </c>
      <c r="AE91" s="110">
        <f t="shared" si="22"/>
        <v>0</v>
      </c>
      <c r="AF91" s="110">
        <f t="shared" si="22"/>
        <v>0</v>
      </c>
      <c r="AG91" s="110">
        <f t="shared" si="22"/>
        <v>0</v>
      </c>
      <c r="AH91" s="110">
        <f t="shared" si="22"/>
        <v>0</v>
      </c>
      <c r="AI91" s="110">
        <f t="shared" si="22"/>
        <v>0</v>
      </c>
      <c r="AJ91" s="110">
        <f t="shared" si="22"/>
        <v>0</v>
      </c>
      <c r="AK91" s="29">
        <f t="shared" si="22"/>
        <v>0</v>
      </c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</row>
    <row r="92" spans="1:69" ht="12.75">
      <c r="A92" s="116">
        <v>20</v>
      </c>
      <c r="B92" s="107"/>
      <c r="C92" s="117"/>
      <c r="D92" s="118"/>
      <c r="E92" s="97" t="s">
        <v>89</v>
      </c>
      <c r="F92" s="46">
        <f>19195*1.15</f>
        <v>22074.25</v>
      </c>
      <c r="G92" s="110"/>
      <c r="H92" s="110">
        <f aca="true" t="shared" si="23" ref="H92:Q96">$F92*$A92*(1.03)^(H$83-2007)</f>
        <v>454729.55</v>
      </c>
      <c r="I92" s="110">
        <f t="shared" si="23"/>
        <v>468371.43649999995</v>
      </c>
      <c r="J92" s="110">
        <f t="shared" si="23"/>
        <v>482422.579595</v>
      </c>
      <c r="K92" s="110">
        <f t="shared" si="23"/>
        <v>496895.25698284997</v>
      </c>
      <c r="L92" s="110">
        <f t="shared" si="23"/>
        <v>511802.1146923354</v>
      </c>
      <c r="M92" s="110">
        <f t="shared" si="23"/>
        <v>527156.1781331055</v>
      </c>
      <c r="N92" s="110">
        <f t="shared" si="23"/>
        <v>542970.8634770988</v>
      </c>
      <c r="O92" s="110">
        <f t="shared" si="23"/>
        <v>559259.9893814116</v>
      </c>
      <c r="P92" s="110">
        <f t="shared" si="23"/>
        <v>576037.789062854</v>
      </c>
      <c r="Q92" s="110">
        <f t="shared" si="23"/>
        <v>593318.9227347396</v>
      </c>
      <c r="R92" s="110">
        <f aca="true" t="shared" si="24" ref="R92:AA96">$F92*$A92*(1.03)^(R$83-2007)</f>
        <v>611118.4904167819</v>
      </c>
      <c r="S92" s="110">
        <f t="shared" si="24"/>
        <v>629452.0451292852</v>
      </c>
      <c r="T92" s="110">
        <f t="shared" si="24"/>
        <v>648335.6064831637</v>
      </c>
      <c r="U92" s="110">
        <f t="shared" si="24"/>
        <v>667785.6746776587</v>
      </c>
      <c r="V92" s="110">
        <f t="shared" si="24"/>
        <v>687819.2449179884</v>
      </c>
      <c r="W92" s="110">
        <f t="shared" si="24"/>
        <v>708453.822265528</v>
      </c>
      <c r="X92" s="110">
        <f t="shared" si="24"/>
        <v>729707.4369334938</v>
      </c>
      <c r="Y92" s="110">
        <f t="shared" si="24"/>
        <v>751598.6600414987</v>
      </c>
      <c r="Z92" s="110">
        <f t="shared" si="24"/>
        <v>774146.6198427436</v>
      </c>
      <c r="AA92" s="110">
        <f t="shared" si="24"/>
        <v>797371.018438026</v>
      </c>
      <c r="AB92" s="110">
        <f aca="true" t="shared" si="25" ref="AB92:AK96">$F92*$A92*(1.03)^(AB$83-2007)</f>
        <v>821292.1489911666</v>
      </c>
      <c r="AC92" s="110">
        <f t="shared" si="25"/>
        <v>845930.9134609017</v>
      </c>
      <c r="AD92" s="110">
        <f t="shared" si="25"/>
        <v>871308.8408647288</v>
      </c>
      <c r="AE92" s="110">
        <f t="shared" si="25"/>
        <v>897448.1060906705</v>
      </c>
      <c r="AF92" s="110">
        <f t="shared" si="25"/>
        <v>924371.5492733906</v>
      </c>
      <c r="AG92" s="110">
        <f t="shared" si="25"/>
        <v>952102.6957515924</v>
      </c>
      <c r="AH92" s="110">
        <f t="shared" si="25"/>
        <v>980665.7766241401</v>
      </c>
      <c r="AI92" s="110">
        <f t="shared" si="25"/>
        <v>1010085.7499228644</v>
      </c>
      <c r="AJ92" s="110">
        <f t="shared" si="25"/>
        <v>1040388.3224205502</v>
      </c>
      <c r="AK92" s="29">
        <f t="shared" si="25"/>
        <v>1071599.9720931666</v>
      </c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</row>
    <row r="93" spans="1:69" ht="12.75">
      <c r="A93" s="116">
        <v>0</v>
      </c>
      <c r="B93" s="107"/>
      <c r="C93" s="117"/>
      <c r="D93" s="118"/>
      <c r="E93" s="97" t="s">
        <v>90</v>
      </c>
      <c r="F93" s="46">
        <f>7082*1.15</f>
        <v>8144.299999999999</v>
      </c>
      <c r="G93" s="110"/>
      <c r="H93" s="110">
        <f t="shared" si="23"/>
        <v>0</v>
      </c>
      <c r="I93" s="110">
        <f t="shared" si="23"/>
        <v>0</v>
      </c>
      <c r="J93" s="110">
        <f t="shared" si="23"/>
        <v>0</v>
      </c>
      <c r="K93" s="110">
        <f t="shared" si="23"/>
        <v>0</v>
      </c>
      <c r="L93" s="110">
        <f t="shared" si="23"/>
        <v>0</v>
      </c>
      <c r="M93" s="110">
        <f t="shared" si="23"/>
        <v>0</v>
      </c>
      <c r="N93" s="110">
        <f t="shared" si="23"/>
        <v>0</v>
      </c>
      <c r="O93" s="110">
        <f t="shared" si="23"/>
        <v>0</v>
      </c>
      <c r="P93" s="110">
        <f t="shared" si="23"/>
        <v>0</v>
      </c>
      <c r="Q93" s="110">
        <f t="shared" si="23"/>
        <v>0</v>
      </c>
      <c r="R93" s="110">
        <f t="shared" si="24"/>
        <v>0</v>
      </c>
      <c r="S93" s="110">
        <f t="shared" si="24"/>
        <v>0</v>
      </c>
      <c r="T93" s="110">
        <f t="shared" si="24"/>
        <v>0</v>
      </c>
      <c r="U93" s="110">
        <f t="shared" si="24"/>
        <v>0</v>
      </c>
      <c r="V93" s="110">
        <f t="shared" si="24"/>
        <v>0</v>
      </c>
      <c r="W93" s="110">
        <f t="shared" si="24"/>
        <v>0</v>
      </c>
      <c r="X93" s="110">
        <f t="shared" si="24"/>
        <v>0</v>
      </c>
      <c r="Y93" s="110">
        <f t="shared" si="24"/>
        <v>0</v>
      </c>
      <c r="Z93" s="110">
        <f t="shared" si="24"/>
        <v>0</v>
      </c>
      <c r="AA93" s="110">
        <f t="shared" si="24"/>
        <v>0</v>
      </c>
      <c r="AB93" s="110">
        <f t="shared" si="25"/>
        <v>0</v>
      </c>
      <c r="AC93" s="110">
        <f t="shared" si="25"/>
        <v>0</v>
      </c>
      <c r="AD93" s="110">
        <f t="shared" si="25"/>
        <v>0</v>
      </c>
      <c r="AE93" s="110">
        <f t="shared" si="25"/>
        <v>0</v>
      </c>
      <c r="AF93" s="110">
        <f t="shared" si="25"/>
        <v>0</v>
      </c>
      <c r="AG93" s="110">
        <f t="shared" si="25"/>
        <v>0</v>
      </c>
      <c r="AH93" s="110">
        <f t="shared" si="25"/>
        <v>0</v>
      </c>
      <c r="AI93" s="110">
        <f t="shared" si="25"/>
        <v>0</v>
      </c>
      <c r="AJ93" s="110">
        <f t="shared" si="25"/>
        <v>0</v>
      </c>
      <c r="AK93" s="29">
        <f t="shared" si="25"/>
        <v>0</v>
      </c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</row>
    <row r="94" spans="1:69" ht="12.75">
      <c r="A94" s="116">
        <v>20</v>
      </c>
      <c r="B94" s="107"/>
      <c r="C94" s="117"/>
      <c r="D94" s="118"/>
      <c r="E94" s="97" t="s">
        <v>91</v>
      </c>
      <c r="F94" s="46">
        <f>(1996+598+405)*1.15</f>
        <v>3448.85</v>
      </c>
      <c r="G94" s="110">
        <f>F94*A94</f>
        <v>68977</v>
      </c>
      <c r="H94" s="110">
        <f t="shared" si="23"/>
        <v>71046.31</v>
      </c>
      <c r="I94" s="110">
        <f t="shared" si="23"/>
        <v>73177.6993</v>
      </c>
      <c r="J94" s="110">
        <f t="shared" si="23"/>
        <v>75373.030279</v>
      </c>
      <c r="K94" s="110">
        <f t="shared" si="23"/>
        <v>77634.22118737</v>
      </c>
      <c r="L94" s="110">
        <f t="shared" si="23"/>
        <v>79963.24782299109</v>
      </c>
      <c r="M94" s="110">
        <f t="shared" si="23"/>
        <v>82362.14525768082</v>
      </c>
      <c r="N94" s="110">
        <f t="shared" si="23"/>
        <v>84833.00961541125</v>
      </c>
      <c r="O94" s="110">
        <f t="shared" si="23"/>
        <v>87377.99990387358</v>
      </c>
      <c r="P94" s="110">
        <f t="shared" si="23"/>
        <v>89999.3399009898</v>
      </c>
      <c r="Q94" s="110">
        <f t="shared" si="23"/>
        <v>92699.32009801948</v>
      </c>
      <c r="R94" s="110">
        <f t="shared" si="24"/>
        <v>95480.29970096008</v>
      </c>
      <c r="S94" s="110">
        <f t="shared" si="24"/>
        <v>98344.70869198887</v>
      </c>
      <c r="T94" s="110">
        <f t="shared" si="24"/>
        <v>101295.04995274852</v>
      </c>
      <c r="U94" s="110">
        <f t="shared" si="24"/>
        <v>104333.901451331</v>
      </c>
      <c r="V94" s="110">
        <f t="shared" si="24"/>
        <v>107463.91849487093</v>
      </c>
      <c r="W94" s="110">
        <f t="shared" si="24"/>
        <v>110687.83604971704</v>
      </c>
      <c r="X94" s="110">
        <f t="shared" si="24"/>
        <v>114008.47113120854</v>
      </c>
      <c r="Y94" s="110">
        <f t="shared" si="24"/>
        <v>117428.7252651448</v>
      </c>
      <c r="Z94" s="110">
        <f t="shared" si="24"/>
        <v>120951.58702309914</v>
      </c>
      <c r="AA94" s="110">
        <f t="shared" si="24"/>
        <v>124580.13463379211</v>
      </c>
      <c r="AB94" s="110">
        <f t="shared" si="25"/>
        <v>128317.53867280587</v>
      </c>
      <c r="AC94" s="110">
        <f t="shared" si="25"/>
        <v>132167.06483299006</v>
      </c>
      <c r="AD94" s="110">
        <f t="shared" si="25"/>
        <v>136132.07677797976</v>
      </c>
      <c r="AE94" s="110">
        <f t="shared" si="25"/>
        <v>140216.03908131915</v>
      </c>
      <c r="AF94" s="110">
        <f t="shared" si="25"/>
        <v>144422.5202537587</v>
      </c>
      <c r="AG94" s="110">
        <f t="shared" si="25"/>
        <v>148755.1958613715</v>
      </c>
      <c r="AH94" s="110">
        <f t="shared" si="25"/>
        <v>153217.85173721262</v>
      </c>
      <c r="AI94" s="110">
        <f t="shared" si="25"/>
        <v>157814.387289329</v>
      </c>
      <c r="AJ94" s="110">
        <f t="shared" si="25"/>
        <v>162548.81890800886</v>
      </c>
      <c r="AK94" s="29">
        <f t="shared" si="25"/>
        <v>167425.2834752491</v>
      </c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</row>
    <row r="95" spans="1:69" ht="12.75">
      <c r="A95" s="116">
        <v>18</v>
      </c>
      <c r="B95" s="107"/>
      <c r="C95" s="117"/>
      <c r="D95" s="118"/>
      <c r="E95" s="97" t="s">
        <v>92</v>
      </c>
      <c r="F95" s="46">
        <f>(1071+1764+1400+190)*1.15</f>
        <v>5088.75</v>
      </c>
      <c r="G95" s="110">
        <f>F95*A95</f>
        <v>91597.5</v>
      </c>
      <c r="H95" s="110">
        <f t="shared" si="23"/>
        <v>94345.425</v>
      </c>
      <c r="I95" s="110">
        <f t="shared" si="23"/>
        <v>97175.78774999999</v>
      </c>
      <c r="J95" s="110">
        <f t="shared" si="23"/>
        <v>100091.0613825</v>
      </c>
      <c r="K95" s="110">
        <f t="shared" si="23"/>
        <v>103093.793223975</v>
      </c>
      <c r="L95" s="110">
        <f t="shared" si="23"/>
        <v>106186.60702069424</v>
      </c>
      <c r="M95" s="110">
        <f t="shared" si="23"/>
        <v>109372.20523131506</v>
      </c>
      <c r="N95" s="110">
        <f t="shared" si="23"/>
        <v>112653.37138825453</v>
      </c>
      <c r="O95" s="110">
        <f t="shared" si="23"/>
        <v>116032.97252990215</v>
      </c>
      <c r="P95" s="110">
        <f t="shared" si="23"/>
        <v>119513.96170579921</v>
      </c>
      <c r="Q95" s="110">
        <f t="shared" si="23"/>
        <v>123099.38055697319</v>
      </c>
      <c r="R95" s="110">
        <f t="shared" si="24"/>
        <v>126792.36197368239</v>
      </c>
      <c r="S95" s="110">
        <f t="shared" si="24"/>
        <v>130596.13283289285</v>
      </c>
      <c r="T95" s="110">
        <f t="shared" si="24"/>
        <v>134514.01681787963</v>
      </c>
      <c r="U95" s="110">
        <f t="shared" si="24"/>
        <v>138549.43732241602</v>
      </c>
      <c r="V95" s="110">
        <f t="shared" si="24"/>
        <v>142705.9204420885</v>
      </c>
      <c r="W95" s="110">
        <f t="shared" si="24"/>
        <v>146987.09805535115</v>
      </c>
      <c r="X95" s="110">
        <f t="shared" si="24"/>
        <v>151396.7109970117</v>
      </c>
      <c r="Y95" s="110">
        <f t="shared" si="24"/>
        <v>155938.61232692204</v>
      </c>
      <c r="Z95" s="110">
        <f t="shared" si="24"/>
        <v>160616.77069672968</v>
      </c>
      <c r="AA95" s="110">
        <f t="shared" si="24"/>
        <v>165435.2738176316</v>
      </c>
      <c r="AB95" s="110">
        <f t="shared" si="25"/>
        <v>170398.3320321605</v>
      </c>
      <c r="AC95" s="110">
        <f t="shared" si="25"/>
        <v>175510.28199312533</v>
      </c>
      <c r="AD95" s="110">
        <f t="shared" si="25"/>
        <v>180775.5904529191</v>
      </c>
      <c r="AE95" s="110">
        <f t="shared" si="25"/>
        <v>186198.85816650666</v>
      </c>
      <c r="AF95" s="110">
        <f t="shared" si="25"/>
        <v>191784.82391150185</v>
      </c>
      <c r="AG95" s="110">
        <f t="shared" si="25"/>
        <v>197538.36862884695</v>
      </c>
      <c r="AH95" s="110">
        <f t="shared" si="25"/>
        <v>203464.5196877123</v>
      </c>
      <c r="AI95" s="110">
        <f t="shared" si="25"/>
        <v>209568.4552783437</v>
      </c>
      <c r="AJ95" s="110">
        <f t="shared" si="25"/>
        <v>215855.50893669398</v>
      </c>
      <c r="AK95" s="29">
        <f t="shared" si="25"/>
        <v>222331.1742047948</v>
      </c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</row>
    <row r="96" spans="1:69" ht="13.5">
      <c r="A96" s="127">
        <v>20</v>
      </c>
      <c r="B96" s="107"/>
      <c r="C96" s="117"/>
      <c r="D96" s="118"/>
      <c r="E96" s="97" t="s">
        <v>93</v>
      </c>
      <c r="F96" s="46">
        <f>(730+434+1230+749+370+311+197+224+382+632)*1.15</f>
        <v>6047.849999999999</v>
      </c>
      <c r="G96" s="110">
        <f>F96*A96</f>
        <v>120956.99999999999</v>
      </c>
      <c r="H96" s="110">
        <f t="shared" si="23"/>
        <v>124585.70999999999</v>
      </c>
      <c r="I96" s="110">
        <f t="shared" si="23"/>
        <v>128323.28129999997</v>
      </c>
      <c r="J96" s="110">
        <f t="shared" si="23"/>
        <v>132172.97973899997</v>
      </c>
      <c r="K96" s="110">
        <f t="shared" si="23"/>
        <v>136138.16913116997</v>
      </c>
      <c r="L96" s="110">
        <f t="shared" si="23"/>
        <v>140222.31420510507</v>
      </c>
      <c r="M96" s="110">
        <f t="shared" si="23"/>
        <v>144428.98363125822</v>
      </c>
      <c r="N96" s="110">
        <f t="shared" si="23"/>
        <v>148761.85314019598</v>
      </c>
      <c r="O96" s="110">
        <f t="shared" si="23"/>
        <v>153224.70873440185</v>
      </c>
      <c r="P96" s="110">
        <f t="shared" si="23"/>
        <v>157821.4499964339</v>
      </c>
      <c r="Q96" s="110">
        <f t="shared" si="23"/>
        <v>162556.0934963269</v>
      </c>
      <c r="R96" s="110">
        <f t="shared" si="24"/>
        <v>167432.77630121674</v>
      </c>
      <c r="S96" s="110">
        <f t="shared" si="24"/>
        <v>172455.7595902532</v>
      </c>
      <c r="T96" s="110">
        <f t="shared" si="24"/>
        <v>177629.4323779608</v>
      </c>
      <c r="U96" s="110">
        <f t="shared" si="24"/>
        <v>182958.31534929964</v>
      </c>
      <c r="V96" s="110">
        <f t="shared" si="24"/>
        <v>188447.06480977865</v>
      </c>
      <c r="W96" s="110">
        <f t="shared" si="24"/>
        <v>194100.47675407198</v>
      </c>
      <c r="X96" s="110">
        <f t="shared" si="24"/>
        <v>199923.49105669413</v>
      </c>
      <c r="Y96" s="110">
        <f t="shared" si="24"/>
        <v>205921.19578839495</v>
      </c>
      <c r="Z96" s="110">
        <f t="shared" si="24"/>
        <v>212098.83166204678</v>
      </c>
      <c r="AA96" s="110">
        <f t="shared" si="24"/>
        <v>218461.79661190818</v>
      </c>
      <c r="AB96" s="110">
        <f t="shared" si="25"/>
        <v>225015.6505102654</v>
      </c>
      <c r="AC96" s="110">
        <f t="shared" si="25"/>
        <v>231766.1200255734</v>
      </c>
      <c r="AD96" s="110">
        <f t="shared" si="25"/>
        <v>238719.1036263406</v>
      </c>
      <c r="AE96" s="110">
        <f t="shared" si="25"/>
        <v>245880.67673513078</v>
      </c>
      <c r="AF96" s="110">
        <f t="shared" si="25"/>
        <v>253257.09703718472</v>
      </c>
      <c r="AG96" s="110">
        <f t="shared" si="25"/>
        <v>260854.8099483003</v>
      </c>
      <c r="AH96" s="110">
        <f t="shared" si="25"/>
        <v>268680.4542467493</v>
      </c>
      <c r="AI96" s="110">
        <f t="shared" si="25"/>
        <v>276740.86787415174</v>
      </c>
      <c r="AJ96" s="110">
        <f t="shared" si="25"/>
        <v>285043.09391037625</v>
      </c>
      <c r="AK96" s="29">
        <f t="shared" si="25"/>
        <v>293594.38672768755</v>
      </c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</row>
    <row r="97" spans="1:69" ht="12.75">
      <c r="A97" s="116">
        <v>20</v>
      </c>
      <c r="B97" s="107"/>
      <c r="C97" s="107"/>
      <c r="D97" s="106"/>
      <c r="E97" s="97" t="s">
        <v>94</v>
      </c>
      <c r="F97" s="46">
        <f>(12329+254+294+254)*1.15</f>
        <v>15100.65</v>
      </c>
      <c r="G97" s="110"/>
      <c r="H97" s="110">
        <f aca="true" t="shared" si="26" ref="H97:Q97">$F97*$A97*(1.03)^(H$83-2007)</f>
        <v>311073.39</v>
      </c>
      <c r="I97" s="110">
        <f t="shared" si="26"/>
        <v>320405.5917</v>
      </c>
      <c r="J97" s="110">
        <f t="shared" si="26"/>
        <v>330017.759451</v>
      </c>
      <c r="K97" s="110">
        <f t="shared" si="26"/>
        <v>339918.29223453</v>
      </c>
      <c r="L97" s="110">
        <f t="shared" si="26"/>
        <v>350115.84100156586</v>
      </c>
      <c r="M97" s="110">
        <f t="shared" si="26"/>
        <v>360619.3162316129</v>
      </c>
      <c r="N97" s="110">
        <f t="shared" si="26"/>
        <v>371437.89571856125</v>
      </c>
      <c r="O97" s="110">
        <f t="shared" si="26"/>
        <v>382581.03259011806</v>
      </c>
      <c r="P97" s="110">
        <f t="shared" si="26"/>
        <v>394058.4635678216</v>
      </c>
      <c r="Q97" s="110">
        <f t="shared" si="26"/>
        <v>405880.21747485624</v>
      </c>
      <c r="R97" s="110">
        <f aca="true" t="shared" si="27" ref="R97:AK97">Q97*1.03</f>
        <v>418056.6239991019</v>
      </c>
      <c r="S97" s="110">
        <f t="shared" si="27"/>
        <v>430598.322719075</v>
      </c>
      <c r="T97" s="110">
        <f t="shared" si="27"/>
        <v>443516.2724006473</v>
      </c>
      <c r="U97" s="110">
        <f t="shared" si="27"/>
        <v>456821.7605726667</v>
      </c>
      <c r="V97" s="110">
        <f t="shared" si="27"/>
        <v>470526.41338984674</v>
      </c>
      <c r="W97" s="110">
        <f t="shared" si="27"/>
        <v>484642.20579154213</v>
      </c>
      <c r="X97" s="110">
        <f t="shared" si="27"/>
        <v>499181.4719652884</v>
      </c>
      <c r="Y97" s="110">
        <f t="shared" si="27"/>
        <v>514156.9161242471</v>
      </c>
      <c r="Z97" s="110">
        <f t="shared" si="27"/>
        <v>529581.6236079745</v>
      </c>
      <c r="AA97" s="110">
        <f t="shared" si="27"/>
        <v>545469.0723162137</v>
      </c>
      <c r="AB97" s="110">
        <f t="shared" si="27"/>
        <v>561833.1444857002</v>
      </c>
      <c r="AC97" s="110">
        <f t="shared" si="27"/>
        <v>578688.1388202712</v>
      </c>
      <c r="AD97" s="110">
        <f t="shared" si="27"/>
        <v>596048.7829848794</v>
      </c>
      <c r="AE97" s="110">
        <f t="shared" si="27"/>
        <v>613930.2464744259</v>
      </c>
      <c r="AF97" s="110">
        <f t="shared" si="27"/>
        <v>632348.1538686587</v>
      </c>
      <c r="AG97" s="110">
        <f t="shared" si="27"/>
        <v>651318.5984847185</v>
      </c>
      <c r="AH97" s="110">
        <f t="shared" si="27"/>
        <v>670858.15643926</v>
      </c>
      <c r="AI97" s="110">
        <f t="shared" si="27"/>
        <v>690983.9011324379</v>
      </c>
      <c r="AJ97" s="110">
        <f t="shared" si="27"/>
        <v>711713.418166411</v>
      </c>
      <c r="AK97" s="29">
        <f t="shared" si="27"/>
        <v>733064.8207114034</v>
      </c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</row>
    <row r="98" spans="1:69" ht="12.75">
      <c r="A98" s="106"/>
      <c r="B98" s="107"/>
      <c r="C98" s="107"/>
      <c r="D98" s="106"/>
      <c r="E98" s="97" t="s">
        <v>95</v>
      </c>
      <c r="F98" s="46">
        <v>8686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29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</row>
    <row r="99" spans="1:69" ht="12.75">
      <c r="A99" s="106"/>
      <c r="B99" s="107"/>
      <c r="C99" s="107"/>
      <c r="D99" s="106"/>
      <c r="E99" s="97"/>
      <c r="F99" s="46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29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</row>
    <row r="100" spans="1:69" ht="12.75">
      <c r="A100" s="106"/>
      <c r="B100" s="107" t="s">
        <v>3</v>
      </c>
      <c r="C100" s="107"/>
      <c r="D100" s="106"/>
      <c r="E100" s="97"/>
      <c r="F100" s="46">
        <f aca="true" t="shared" si="28" ref="F100:AK100">SUM(F84:F99)</f>
        <v>297999.64999999997</v>
      </c>
      <c r="G100" s="46">
        <f t="shared" si="28"/>
        <v>4686042.61</v>
      </c>
      <c r="H100" s="46">
        <f t="shared" si="28"/>
        <v>5592426.828299999</v>
      </c>
      <c r="I100" s="46">
        <f t="shared" si="28"/>
        <v>5760199.633149</v>
      </c>
      <c r="J100" s="46">
        <f t="shared" si="28"/>
        <v>5933005.622143472</v>
      </c>
      <c r="K100" s="46">
        <f t="shared" si="28"/>
        <v>6110995.790807773</v>
      </c>
      <c r="L100" s="46">
        <f t="shared" si="28"/>
        <v>6294325.664532007</v>
      </c>
      <c r="M100" s="46">
        <f t="shared" si="28"/>
        <v>6483155.434467968</v>
      </c>
      <c r="N100" s="46">
        <f t="shared" si="28"/>
        <v>6677650.097502006</v>
      </c>
      <c r="O100" s="46">
        <f t="shared" si="28"/>
        <v>6877979.600427067</v>
      </c>
      <c r="P100" s="46">
        <f t="shared" si="28"/>
        <v>7084318.988439879</v>
      </c>
      <c r="Q100" s="46">
        <f t="shared" si="28"/>
        <v>7296848.558093077</v>
      </c>
      <c r="R100" s="46">
        <f t="shared" si="28"/>
        <v>7515754.01483587</v>
      </c>
      <c r="S100" s="46">
        <f t="shared" si="28"/>
        <v>7741226.635280944</v>
      </c>
      <c r="T100" s="46">
        <f t="shared" si="28"/>
        <v>7973463.434339373</v>
      </c>
      <c r="U100" s="46">
        <f t="shared" si="28"/>
        <v>8212667.337369555</v>
      </c>
      <c r="V100" s="46">
        <f t="shared" si="28"/>
        <v>8459047.357490642</v>
      </c>
      <c r="W100" s="46">
        <f t="shared" si="28"/>
        <v>8712818.778215362</v>
      </c>
      <c r="X100" s="46">
        <f t="shared" si="28"/>
        <v>8974203.341561822</v>
      </c>
      <c r="Y100" s="46">
        <f t="shared" si="28"/>
        <v>9243429.441808676</v>
      </c>
      <c r="Z100" s="46">
        <f t="shared" si="28"/>
        <v>9520732.32506294</v>
      </c>
      <c r="AA100" s="46">
        <f t="shared" si="28"/>
        <v>9806354.294814827</v>
      </c>
      <c r="AB100" s="46">
        <f t="shared" si="28"/>
        <v>10100544.92365927</v>
      </c>
      <c r="AC100" s="46">
        <f t="shared" si="28"/>
        <v>10403561.27136905</v>
      </c>
      <c r="AD100" s="46">
        <f t="shared" si="28"/>
        <v>10715668.109510118</v>
      </c>
      <c r="AE100" s="46">
        <f t="shared" si="28"/>
        <v>11037138.152795425</v>
      </c>
      <c r="AF100" s="46">
        <f t="shared" si="28"/>
        <v>11368252.297379285</v>
      </c>
      <c r="AG100" s="46">
        <f t="shared" si="28"/>
        <v>11709299.866300667</v>
      </c>
      <c r="AH100" s="46">
        <f t="shared" si="28"/>
        <v>12060578.862289686</v>
      </c>
      <c r="AI100" s="46">
        <f t="shared" si="28"/>
        <v>12422396.228158377</v>
      </c>
      <c r="AJ100" s="46">
        <f t="shared" si="28"/>
        <v>12795068.115003128</v>
      </c>
      <c r="AK100" s="128">
        <f t="shared" si="28"/>
        <v>13178920.158453222</v>
      </c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</row>
    <row r="101" spans="1:69" ht="12.75">
      <c r="A101" s="106"/>
      <c r="B101" s="107" t="s">
        <v>96</v>
      </c>
      <c r="C101" s="107"/>
      <c r="D101" s="106"/>
      <c r="E101" s="97"/>
      <c r="F101" s="129">
        <v>298000</v>
      </c>
      <c r="G101" s="109">
        <f>(F81-E81)/365</f>
        <v>0.41643835616438357</v>
      </c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29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</row>
    <row r="102" spans="1:69" ht="13.5" thickBot="1">
      <c r="A102" s="106"/>
      <c r="B102" s="107"/>
      <c r="C102" s="107"/>
      <c r="D102" s="106"/>
      <c r="E102" s="97"/>
      <c r="F102" s="125"/>
      <c r="G102" s="13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29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</row>
    <row r="103" spans="1:69" ht="12.75">
      <c r="A103" s="106"/>
      <c r="B103" s="107"/>
      <c r="C103" s="107"/>
      <c r="D103" s="106"/>
      <c r="E103" s="97"/>
      <c r="F103" s="46" t="s">
        <v>97</v>
      </c>
      <c r="G103" s="110">
        <f>SUM(G84:G87)</f>
        <v>4296335.87</v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29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</row>
    <row r="104" spans="1:69" ht="12.75">
      <c r="A104" s="106"/>
      <c r="B104" s="107"/>
      <c r="C104" s="107"/>
      <c r="D104" s="106"/>
      <c r="E104" s="97"/>
      <c r="F104" s="46" t="s">
        <v>98</v>
      </c>
      <c r="G104" s="110">
        <f>G100-G103</f>
        <v>389706.7400000002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29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</row>
    <row r="105" spans="1:69" ht="13.5">
      <c r="A105" s="106"/>
      <c r="B105" s="107"/>
      <c r="C105" s="107"/>
      <c r="D105" s="106"/>
      <c r="E105" s="97"/>
      <c r="F105" s="46" t="s">
        <v>99</v>
      </c>
      <c r="G105" s="131">
        <f>G104*G101</f>
        <v>162288.83419178092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29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</row>
    <row r="106" spans="1:69" ht="12.75">
      <c r="A106" s="106"/>
      <c r="B106" s="107"/>
      <c r="C106" s="107"/>
      <c r="D106" s="106"/>
      <c r="E106" s="97"/>
      <c r="F106" s="46" t="s">
        <v>100</v>
      </c>
      <c r="G106" s="85">
        <f>'[1]2007 termination costs'!M32</f>
        <v>193050.8378333334</v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29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</row>
    <row r="107" spans="1:69" ht="12.75">
      <c r="A107" s="106"/>
      <c r="B107" s="107"/>
      <c r="C107" s="107"/>
      <c r="D107" s="106"/>
      <c r="E107" s="97"/>
      <c r="F107" s="129" t="s">
        <v>101</v>
      </c>
      <c r="G107" s="132">
        <f>G105+G106</f>
        <v>355339.6720251143</v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29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</row>
    <row r="108" spans="1:69" ht="13.5" thickBot="1">
      <c r="A108" s="133"/>
      <c r="B108" s="134" t="s">
        <v>102</v>
      </c>
      <c r="C108" s="134"/>
      <c r="D108" s="133"/>
      <c r="E108" s="135"/>
      <c r="F108" s="6"/>
      <c r="G108" s="6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6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</row>
    <row r="109" spans="4:37" ht="22.5" hidden="1">
      <c r="D109" s="106"/>
      <c r="E109" s="108" t="s">
        <v>103</v>
      </c>
      <c r="F109" s="109"/>
      <c r="G109" s="37"/>
      <c r="H109" s="37"/>
      <c r="I109" s="37"/>
      <c r="J109" s="37"/>
      <c r="K109" s="37"/>
      <c r="L109" s="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87"/>
    </row>
    <row r="110" spans="4:37" ht="4.5" customHeight="1" hidden="1">
      <c r="D110" s="106"/>
      <c r="E110" s="138"/>
      <c r="F110" s="109"/>
      <c r="G110" s="37"/>
      <c r="H110" s="37"/>
      <c r="I110" s="37"/>
      <c r="J110" s="37"/>
      <c r="K110" s="37"/>
      <c r="L110" s="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87"/>
    </row>
    <row r="111" spans="2:37" ht="15.75" hidden="1">
      <c r="B111" s="139" t="s">
        <v>72</v>
      </c>
      <c r="C111" s="139"/>
      <c r="D111" s="112"/>
      <c r="E111" s="111" t="s">
        <v>74</v>
      </c>
      <c r="F111" s="113" t="s">
        <v>75</v>
      </c>
      <c r="G111" s="114">
        <f aca="true" t="shared" si="29" ref="G111:AK111">G58</f>
        <v>2007</v>
      </c>
      <c r="H111" s="114">
        <f t="shared" si="29"/>
        <v>2008</v>
      </c>
      <c r="I111" s="114">
        <f t="shared" si="29"/>
        <v>2009</v>
      </c>
      <c r="J111" s="114">
        <f t="shared" si="29"/>
        <v>2010</v>
      </c>
      <c r="K111" s="114">
        <f t="shared" si="29"/>
        <v>2011</v>
      </c>
      <c r="L111" s="114">
        <f t="shared" si="29"/>
        <v>2012</v>
      </c>
      <c r="M111" s="114">
        <f t="shared" si="29"/>
        <v>2013</v>
      </c>
      <c r="N111" s="114">
        <f t="shared" si="29"/>
        <v>2014</v>
      </c>
      <c r="O111" s="114">
        <f t="shared" si="29"/>
        <v>2015</v>
      </c>
      <c r="P111" s="114">
        <f t="shared" si="29"/>
        <v>2016</v>
      </c>
      <c r="Q111" s="114">
        <f t="shared" si="29"/>
        <v>2017</v>
      </c>
      <c r="R111" s="114">
        <f t="shared" si="29"/>
        <v>2018</v>
      </c>
      <c r="S111" s="114">
        <f t="shared" si="29"/>
        <v>2019</v>
      </c>
      <c r="T111" s="114">
        <f t="shared" si="29"/>
        <v>2020</v>
      </c>
      <c r="U111" s="114">
        <f t="shared" si="29"/>
        <v>2021</v>
      </c>
      <c r="V111" s="114">
        <f t="shared" si="29"/>
        <v>2022</v>
      </c>
      <c r="W111" s="114">
        <f t="shared" si="29"/>
        <v>2023</v>
      </c>
      <c r="X111" s="114">
        <f t="shared" si="29"/>
        <v>2024</v>
      </c>
      <c r="Y111" s="114">
        <f t="shared" si="29"/>
        <v>2025</v>
      </c>
      <c r="Z111" s="114">
        <f t="shared" si="29"/>
        <v>2026</v>
      </c>
      <c r="AA111" s="114">
        <f t="shared" si="29"/>
        <v>2027</v>
      </c>
      <c r="AB111" s="114">
        <f t="shared" si="29"/>
        <v>2028</v>
      </c>
      <c r="AC111" s="114">
        <f t="shared" si="29"/>
        <v>2029</v>
      </c>
      <c r="AD111" s="114">
        <f t="shared" si="29"/>
        <v>2030</v>
      </c>
      <c r="AE111" s="114">
        <f t="shared" si="29"/>
        <v>2031</v>
      </c>
      <c r="AF111" s="114">
        <f t="shared" si="29"/>
        <v>2032</v>
      </c>
      <c r="AG111" s="114">
        <f t="shared" si="29"/>
        <v>2033</v>
      </c>
      <c r="AH111" s="114">
        <f t="shared" si="29"/>
        <v>2034</v>
      </c>
      <c r="AI111" s="114">
        <f t="shared" si="29"/>
        <v>2035</v>
      </c>
      <c r="AJ111" s="114">
        <f t="shared" si="29"/>
        <v>2036</v>
      </c>
      <c r="AK111" s="115">
        <f t="shared" si="29"/>
        <v>2037</v>
      </c>
    </row>
    <row r="112" spans="2:37" ht="12.75" hidden="1">
      <c r="B112" s="6" t="s">
        <v>104</v>
      </c>
      <c r="D112" s="106"/>
      <c r="E112" s="140" t="s">
        <v>105</v>
      </c>
      <c r="F112" s="141">
        <v>38391</v>
      </c>
      <c r="G112" s="32">
        <f>'[1]Lease Space Summary'!I5</f>
        <v>829629.51</v>
      </c>
      <c r="H112" s="32">
        <f>'[1]Lease Space Summary'!J5</f>
        <v>854518.3953</v>
      </c>
      <c r="I112" s="32">
        <f>'[1]Lease Space Summary'!K5</f>
        <v>880153.947159</v>
      </c>
      <c r="J112" s="32">
        <f>'[1]Lease Space Summary'!L5</f>
        <v>906558.56557377</v>
      </c>
      <c r="K112" s="32">
        <f>'[1]Lease Space Summary'!M5</f>
        <v>933755.3225409831</v>
      </c>
      <c r="L112" s="32">
        <f>'[1]Lease Space Summary'!N5</f>
        <v>961767.9822172126</v>
      </c>
      <c r="M112" s="32">
        <f>'[1]Lease Space Summary'!O5</f>
        <v>990621.0216837289</v>
      </c>
      <c r="N112" s="32">
        <f>'[1]Lease Space Summary'!P5</f>
        <v>1020339.6523342408</v>
      </c>
      <c r="O112" s="32">
        <f>'[1]Lease Space Summary'!Q5</f>
        <v>1050949.8419042681</v>
      </c>
      <c r="P112" s="32">
        <f>'[1]Lease Space Summary'!R5</f>
        <v>1082478.3371613962</v>
      </c>
      <c r="Q112" s="32">
        <f>'[1]Lease Space Summary'!S5</f>
        <v>1114952.687276238</v>
      </c>
      <c r="R112" s="32">
        <f>'[1]Lease Space Summary'!T5</f>
        <v>1148401.2678945253</v>
      </c>
      <c r="S112" s="32">
        <f>'[1]Lease Space Summary'!U5</f>
        <v>1182853.3059313612</v>
      </c>
      <c r="T112" s="32">
        <f>'[1]Lease Space Summary'!V5</f>
        <v>1218338.9051093021</v>
      </c>
      <c r="U112" s="32">
        <f>'[1]Lease Space Summary'!W5</f>
        <v>1254889.0722625812</v>
      </c>
      <c r="V112" s="32">
        <f>'[1]Lease Space Summary'!X5</f>
        <v>1292535.7444304586</v>
      </c>
      <c r="W112" s="32">
        <f>'[1]Lease Space Summary'!Y5</f>
        <v>1331311.8167633724</v>
      </c>
      <c r="X112" s="32">
        <f>'[1]Lease Space Summary'!Z5</f>
        <v>1371251.1712662736</v>
      </c>
      <c r="Y112" s="32">
        <f>'[1]Lease Space Summary'!AA5</f>
        <v>1412388.7064042618</v>
      </c>
      <c r="Z112" s="32">
        <f>'[1]Lease Space Summary'!AB5</f>
        <v>1454760.3675963897</v>
      </c>
      <c r="AA112" s="32">
        <f>'[1]Lease Space Summary'!AC5</f>
        <v>1498403.1786242814</v>
      </c>
      <c r="AB112" s="32">
        <f>'[1]Lease Space Summary'!AD5</f>
        <v>1543355.2739830099</v>
      </c>
      <c r="AC112" s="32">
        <f>'[1]Lease Space Summary'!AE5</f>
        <v>1589655.9322025003</v>
      </c>
      <c r="AD112" s="32">
        <f>'[1]Lease Space Summary'!AF5</f>
        <v>1637345.6101685753</v>
      </c>
      <c r="AE112" s="32">
        <f>'[1]Lease Space Summary'!AG5</f>
        <v>1686465.9784736326</v>
      </c>
      <c r="AF112" s="32">
        <f>'[1]Lease Space Summary'!AH5</f>
        <v>1737059.9578278416</v>
      </c>
      <c r="AG112" s="32">
        <f>'[1]Lease Space Summary'!AI5</f>
        <v>1789171.756562677</v>
      </c>
      <c r="AH112" s="32">
        <f>'[1]Lease Space Summary'!AJ5</f>
        <v>1842846.9092595573</v>
      </c>
      <c r="AI112" s="32">
        <f>'[1]Lease Space Summary'!AK5</f>
        <v>1898132.3165373441</v>
      </c>
      <c r="AJ112" s="32">
        <f>'[1]Lease Space Summary'!AL5</f>
        <v>1955076.2860334646</v>
      </c>
      <c r="AK112" s="142">
        <f>'[1]Lease Space Summary'!AM5</f>
        <v>2013728.5746144685</v>
      </c>
    </row>
    <row r="113" spans="2:37" ht="12.75" hidden="1">
      <c r="B113" s="6" t="s">
        <v>104</v>
      </c>
      <c r="D113" s="106"/>
      <c r="E113" s="140" t="s">
        <v>77</v>
      </c>
      <c r="F113" s="141">
        <v>45446</v>
      </c>
      <c r="G113" s="32">
        <f>'[1]Lease Space Summary'!I6</f>
        <v>982088.06</v>
      </c>
      <c r="H113" s="32">
        <f>'[1]Lease Space Summary'!J6</f>
        <v>1011550.7017999999</v>
      </c>
      <c r="I113" s="32">
        <f>'[1]Lease Space Summary'!K6</f>
        <v>1041897.2228539999</v>
      </c>
      <c r="J113" s="32">
        <f>'[1]Lease Space Summary'!L6</f>
        <v>1073154.13953962</v>
      </c>
      <c r="K113" s="32">
        <f>'[1]Lease Space Summary'!M6</f>
        <v>1105348.7637258086</v>
      </c>
      <c r="L113" s="32">
        <f>'[1]Lease Space Summary'!N6</f>
        <v>1138509.2266375828</v>
      </c>
      <c r="M113" s="32">
        <f>'[1]Lease Space Summary'!O6</f>
        <v>1172664.5034367102</v>
      </c>
      <c r="N113" s="32">
        <f>'[1]Lease Space Summary'!P6</f>
        <v>1207844.4385398116</v>
      </c>
      <c r="O113" s="32">
        <f>'[1]Lease Space Summary'!Q6</f>
        <v>1244079.771696006</v>
      </c>
      <c r="P113" s="32">
        <f>'[1]Lease Space Summary'!R6</f>
        <v>1281402.1648468862</v>
      </c>
      <c r="Q113" s="32">
        <f>'[1]Lease Space Summary'!S6</f>
        <v>1319844.2297922927</v>
      </c>
      <c r="R113" s="32">
        <f>'[1]Lease Space Summary'!T6</f>
        <v>1359439.5566860614</v>
      </c>
      <c r="S113" s="32">
        <f>'[1]Lease Space Summary'!U6</f>
        <v>1400222.7433866432</v>
      </c>
      <c r="T113" s="32">
        <f>'[1]Lease Space Summary'!V6</f>
        <v>1442229.4256882425</v>
      </c>
      <c r="U113" s="32">
        <f>'[1]Lease Space Summary'!W6</f>
        <v>1485496.3084588898</v>
      </c>
      <c r="V113" s="32">
        <f>'[1]Lease Space Summary'!X6</f>
        <v>1530061.1977126566</v>
      </c>
      <c r="W113" s="32">
        <f>'[1]Lease Space Summary'!Y6</f>
        <v>1575963.0336440364</v>
      </c>
      <c r="X113" s="32">
        <f>'[1]Lease Space Summary'!Z6</f>
        <v>1623241.9246533576</v>
      </c>
      <c r="Y113" s="32">
        <f>'[1]Lease Space Summary'!AA6</f>
        <v>1671939.1823929583</v>
      </c>
      <c r="Z113" s="32">
        <f>'[1]Lease Space Summary'!AB6</f>
        <v>1722097.357864747</v>
      </c>
      <c r="AA113" s="32">
        <f>'[1]Lease Space Summary'!AC6</f>
        <v>1773760.2786006895</v>
      </c>
      <c r="AB113" s="32">
        <f>'[1]Lease Space Summary'!AD6</f>
        <v>1826973.0869587103</v>
      </c>
      <c r="AC113" s="32">
        <f>'[1]Lease Space Summary'!AE6</f>
        <v>1881782.2795674717</v>
      </c>
      <c r="AD113" s="32">
        <f>'[1]Lease Space Summary'!AF6</f>
        <v>1938235.747954496</v>
      </c>
      <c r="AE113" s="32">
        <f>'[1]Lease Space Summary'!AG6</f>
        <v>1996382.8203931309</v>
      </c>
      <c r="AF113" s="32">
        <f>'[1]Lease Space Summary'!AH6</f>
        <v>2056274.3050049248</v>
      </c>
      <c r="AG113" s="32">
        <f>'[1]Lease Space Summary'!AI6</f>
        <v>2117962.5341550726</v>
      </c>
      <c r="AH113" s="32">
        <f>'[1]Lease Space Summary'!AJ6</f>
        <v>2181501.410179725</v>
      </c>
      <c r="AI113" s="32">
        <f>'[1]Lease Space Summary'!AK6</f>
        <v>2246946.4524851167</v>
      </c>
      <c r="AJ113" s="32">
        <f>'[1]Lease Space Summary'!AL6</f>
        <v>2314354.84605967</v>
      </c>
      <c r="AK113" s="142">
        <f>'[1]Lease Space Summary'!AM6</f>
        <v>2383785.4914414603</v>
      </c>
    </row>
    <row r="114" spans="2:37" ht="12.75" hidden="1">
      <c r="B114" s="6" t="s">
        <v>78</v>
      </c>
      <c r="D114" s="106"/>
      <c r="E114" s="140" t="s">
        <v>79</v>
      </c>
      <c r="F114" s="141">
        <v>77483</v>
      </c>
      <c r="G114" s="32">
        <f>'[1]Lease Space Summary'!I7</f>
        <v>1239728</v>
      </c>
      <c r="H114" s="32">
        <f>'[1]Lease Space Summary'!J7</f>
        <v>1264522.56</v>
      </c>
      <c r="I114" s="32">
        <f>'[1]Lease Space Summary'!K7</f>
        <v>1289813.0112</v>
      </c>
      <c r="J114" s="32">
        <f>'[1]Lease Space Summary'!L7</f>
        <v>1315609.2714240002</v>
      </c>
      <c r="K114" s="32">
        <f>'[1]Lease Space Summary'!M7</f>
        <v>1341921.45685248</v>
      </c>
      <c r="L114" s="32">
        <f>'[1]Lease Space Summary'!N7</f>
        <v>1368759.8859895298</v>
      </c>
      <c r="M114" s="32">
        <f>'[1]Lease Space Summary'!O7</f>
        <v>1396135.0837093203</v>
      </c>
      <c r="N114" s="32">
        <f>'[1]Lease Space Summary'!P7</f>
        <v>1438019.1362206</v>
      </c>
      <c r="O114" s="32">
        <f>'[1]Lease Space Summary'!Q7</f>
        <v>1481159.7103072181</v>
      </c>
      <c r="P114" s="32">
        <f>'[1]Lease Space Summary'!R7</f>
        <v>1525594.5016164347</v>
      </c>
      <c r="Q114" s="32">
        <f>'[1]Lease Space Summary'!S7</f>
        <v>1571362.3366649277</v>
      </c>
      <c r="R114" s="32">
        <f>'[1]Lease Space Summary'!T7</f>
        <v>1618503.2067648754</v>
      </c>
      <c r="S114" s="32">
        <f>'[1]Lease Space Summary'!U7</f>
        <v>1667058.3029678217</v>
      </c>
      <c r="T114" s="32">
        <f>'[1]Lease Space Summary'!V7</f>
        <v>1717070.0520568565</v>
      </c>
      <c r="U114" s="32">
        <f>'[1]Lease Space Summary'!W7</f>
        <v>1768582.1536185623</v>
      </c>
      <c r="V114" s="32">
        <f>'[1]Lease Space Summary'!X7</f>
        <v>1821639.618227119</v>
      </c>
      <c r="W114" s="32">
        <f>'[1]Lease Space Summary'!Y7</f>
        <v>1876288.8067739327</v>
      </c>
      <c r="X114" s="32">
        <f>'[1]Lease Space Summary'!Z7</f>
        <v>1932577.4709771506</v>
      </c>
      <c r="Y114" s="32">
        <f>'[1]Lease Space Summary'!AA7</f>
        <v>1990554.7951064652</v>
      </c>
      <c r="Z114" s="32">
        <f>'[1]Lease Space Summary'!AB7</f>
        <v>2050271.4389596593</v>
      </c>
      <c r="AA114" s="32">
        <f>'[1]Lease Space Summary'!AC7</f>
        <v>2111779.5821284493</v>
      </c>
      <c r="AB114" s="32">
        <f>'[1]Lease Space Summary'!AD7</f>
        <v>2175132.969592303</v>
      </c>
      <c r="AC114" s="32">
        <f>'[1]Lease Space Summary'!AE7</f>
        <v>2240386.9586800723</v>
      </c>
      <c r="AD114" s="32">
        <f>'[1]Lease Space Summary'!AF7</f>
        <v>2307598.5674404744</v>
      </c>
      <c r="AE114" s="32">
        <f>'[1]Lease Space Summary'!AG7</f>
        <v>2376826.5244636885</v>
      </c>
      <c r="AF114" s="32">
        <f>'[1]Lease Space Summary'!AH7</f>
        <v>2448131.320197599</v>
      </c>
      <c r="AG114" s="32">
        <f>'[1]Lease Space Summary'!AI7</f>
        <v>2521575.259803527</v>
      </c>
      <c r="AH114" s="32">
        <f>'[1]Lease Space Summary'!AJ7</f>
        <v>2597222.517597633</v>
      </c>
      <c r="AI114" s="32">
        <f>'[1]Lease Space Summary'!AK7</f>
        <v>2675139.193125562</v>
      </c>
      <c r="AJ114" s="32">
        <f>'[1]Lease Space Summary'!AL7</f>
        <v>2755393.368919329</v>
      </c>
      <c r="AK114" s="142">
        <f>'[1]Lease Space Summary'!AM7</f>
        <v>2838055.169986909</v>
      </c>
    </row>
    <row r="115" spans="2:37" ht="12.75" hidden="1">
      <c r="B115" s="6" t="s">
        <v>78</v>
      </c>
      <c r="D115" s="106"/>
      <c r="E115" s="140" t="s">
        <v>79</v>
      </c>
      <c r="F115" s="141">
        <f>98017-F114</f>
        <v>20534</v>
      </c>
      <c r="G115" s="32">
        <f>'[1]Lease Space Summary'!I8</f>
        <v>390146</v>
      </c>
      <c r="H115" s="32">
        <f>'[1]Lease Space Summary'!J8</f>
        <v>397948.92</v>
      </c>
      <c r="I115" s="32">
        <f>'[1]Lease Space Summary'!K8</f>
        <v>405907.8984</v>
      </c>
      <c r="J115" s="32">
        <f>'[1]Lease Space Summary'!L8</f>
        <v>414026.056368</v>
      </c>
      <c r="K115" s="32">
        <f>'[1]Lease Space Summary'!M8</f>
        <v>422306.57749536</v>
      </c>
      <c r="L115" s="32">
        <f>'[1]Lease Space Summary'!N8</f>
        <v>430752.7090452672</v>
      </c>
      <c r="M115" s="32">
        <f>'[1]Lease Space Summary'!O8</f>
        <v>439367.76322617254</v>
      </c>
      <c r="N115" s="32">
        <f>'[1]Lease Space Summary'!P8</f>
        <v>452548.7961229577</v>
      </c>
      <c r="O115" s="32">
        <f>'[1]Lease Space Summary'!Q8</f>
        <v>466125.26000664645</v>
      </c>
      <c r="P115" s="32">
        <f>'[1]Lease Space Summary'!R8</f>
        <v>480109.01780684583</v>
      </c>
      <c r="Q115" s="32">
        <f>'[1]Lease Space Summary'!S8</f>
        <v>494512.2883410512</v>
      </c>
      <c r="R115" s="32">
        <f>'[1]Lease Space Summary'!T8</f>
        <v>509347.65699128277</v>
      </c>
      <c r="S115" s="32">
        <f>'[1]Lease Space Summary'!U8</f>
        <v>524628.0867010213</v>
      </c>
      <c r="T115" s="32">
        <f>'[1]Lease Space Summary'!V8</f>
        <v>540366.9293020519</v>
      </c>
      <c r="U115" s="32">
        <f>'[1]Lease Space Summary'!W8</f>
        <v>556577.9371811135</v>
      </c>
      <c r="V115" s="32">
        <f>'[1]Lease Space Summary'!X8</f>
        <v>573275.275296547</v>
      </c>
      <c r="W115" s="32">
        <f>'[1]Lease Space Summary'!Y8</f>
        <v>590473.5335554434</v>
      </c>
      <c r="X115" s="32">
        <f>'[1]Lease Space Summary'!Z8</f>
        <v>608187.7395621067</v>
      </c>
      <c r="Y115" s="32">
        <f>'[1]Lease Space Summary'!AA8</f>
        <v>626433.3717489699</v>
      </c>
      <c r="Z115" s="32">
        <f>'[1]Lease Space Summary'!AB8</f>
        <v>645226.372901439</v>
      </c>
      <c r="AA115" s="32">
        <f>'[1]Lease Space Summary'!AC8</f>
        <v>664583.1640884822</v>
      </c>
      <c r="AB115" s="32">
        <f>'[1]Lease Space Summary'!AD8</f>
        <v>684520.6590111366</v>
      </c>
      <c r="AC115" s="32">
        <f>'[1]Lease Space Summary'!AE8</f>
        <v>705056.2787814707</v>
      </c>
      <c r="AD115" s="32">
        <f>'[1]Lease Space Summary'!AF8</f>
        <v>726207.9671449149</v>
      </c>
      <c r="AE115" s="32">
        <f>'[1]Lease Space Summary'!AG8</f>
        <v>747994.2061592623</v>
      </c>
      <c r="AF115" s="32">
        <f>'[1]Lease Space Summary'!AH8</f>
        <v>770434.0323440402</v>
      </c>
      <c r="AG115" s="32">
        <f>'[1]Lease Space Summary'!AI8</f>
        <v>793547.0533143615</v>
      </c>
      <c r="AH115" s="32">
        <f>'[1]Lease Space Summary'!AJ8</f>
        <v>817353.4649137923</v>
      </c>
      <c r="AI115" s="32">
        <f>'[1]Lease Space Summary'!AK8</f>
        <v>841874.0688612061</v>
      </c>
      <c r="AJ115" s="32">
        <f>'[1]Lease Space Summary'!AL8</f>
        <v>867130.2909270423</v>
      </c>
      <c r="AK115" s="142">
        <f>'[1]Lease Space Summary'!AM8</f>
        <v>893144.1996548536</v>
      </c>
    </row>
    <row r="116" spans="2:37" ht="12.75" hidden="1">
      <c r="B116" s="6" t="s">
        <v>106</v>
      </c>
      <c r="D116" s="106"/>
      <c r="E116" s="140" t="s">
        <v>107</v>
      </c>
      <c r="F116" s="141">
        <v>4409</v>
      </c>
      <c r="G116" s="32">
        <f>'[1]Lease Space Summary'!I9</f>
        <v>132270</v>
      </c>
      <c r="H116" s="32">
        <f>'[1]Lease Space Summary'!J9</f>
        <v>136238.1</v>
      </c>
      <c r="I116" s="32">
        <f>'[1]Lease Space Summary'!K9</f>
        <v>140325.24300000002</v>
      </c>
      <c r="J116" s="32">
        <f>'[1]Lease Space Summary'!L9</f>
        <v>144535.00029000003</v>
      </c>
      <c r="K116" s="32">
        <f>'[1]Lease Space Summary'!M9</f>
        <v>148871.05029870002</v>
      </c>
      <c r="L116" s="32">
        <f>'[1]Lease Space Summary'!N9</f>
        <v>153337.18180766102</v>
      </c>
      <c r="M116" s="32">
        <f>'[1]Lease Space Summary'!O9</f>
        <v>157937.29726189087</v>
      </c>
      <c r="N116" s="32">
        <f>'[1]Lease Space Summary'!P9</f>
        <v>162675.4161797476</v>
      </c>
      <c r="O116" s="32">
        <f>'[1]Lease Space Summary'!Q9</f>
        <v>167555.67866514003</v>
      </c>
      <c r="P116" s="32">
        <f>'[1]Lease Space Summary'!R9</f>
        <v>172582.34902509424</v>
      </c>
      <c r="Q116" s="32">
        <f>'[1]Lease Space Summary'!S9</f>
        <v>177759.81949584707</v>
      </c>
      <c r="R116" s="32">
        <f>'[1]Lease Space Summary'!T9</f>
        <v>183092.61408072247</v>
      </c>
      <c r="S116" s="32">
        <f>'[1]Lease Space Summary'!U9</f>
        <v>188585.39250314416</v>
      </c>
      <c r="T116" s="32">
        <f>'[1]Lease Space Summary'!V9</f>
        <v>194242.9542782385</v>
      </c>
      <c r="U116" s="32">
        <f>'[1]Lease Space Summary'!W9</f>
        <v>200070.24290658566</v>
      </c>
      <c r="V116" s="32">
        <f>'[1]Lease Space Summary'!X9</f>
        <v>206072.35019378323</v>
      </c>
      <c r="W116" s="32">
        <f>'[1]Lease Space Summary'!Y9</f>
        <v>212254.52069959673</v>
      </c>
      <c r="X116" s="32">
        <f>'[1]Lease Space Summary'!Z9</f>
        <v>218622.15632058465</v>
      </c>
      <c r="Y116" s="32">
        <f>'[1]Lease Space Summary'!AA9</f>
        <v>225180.8210102022</v>
      </c>
      <c r="Z116" s="32">
        <f>'[1]Lease Space Summary'!AB9</f>
        <v>231936.24564050828</v>
      </c>
      <c r="AA116" s="32">
        <f>'[1]Lease Space Summary'!AC9</f>
        <v>238894.33300972354</v>
      </c>
      <c r="AB116" s="32">
        <f>'[1]Lease Space Summary'!AD9</f>
        <v>246061.16300001525</v>
      </c>
      <c r="AC116" s="32">
        <f>'[1]Lease Space Summary'!AE9</f>
        <v>253442.99789001571</v>
      </c>
      <c r="AD116" s="32">
        <f>'[1]Lease Space Summary'!AF9</f>
        <v>261046.2878267162</v>
      </c>
      <c r="AE116" s="32">
        <f>'[1]Lease Space Summary'!AG9</f>
        <v>268877.6764615177</v>
      </c>
      <c r="AF116" s="32">
        <f>'[1]Lease Space Summary'!AH9</f>
        <v>276944.00675536325</v>
      </c>
      <c r="AG116" s="32">
        <f>'[1]Lease Space Summary'!AI9</f>
        <v>285252.3269580242</v>
      </c>
      <c r="AH116" s="32">
        <f>'[1]Lease Space Summary'!AJ9</f>
        <v>293809.8967667649</v>
      </c>
      <c r="AI116" s="32">
        <f>'[1]Lease Space Summary'!AK9</f>
        <v>302624.1936697679</v>
      </c>
      <c r="AJ116" s="32">
        <f>'[1]Lease Space Summary'!AL9</f>
        <v>311702.9194798609</v>
      </c>
      <c r="AK116" s="142">
        <f>'[1]Lease Space Summary'!AM9</f>
        <v>321054.00706425676</v>
      </c>
    </row>
    <row r="117" spans="2:37" ht="12.75" hidden="1">
      <c r="B117" s="6" t="s">
        <v>106</v>
      </c>
      <c r="D117" s="106"/>
      <c r="E117" s="140" t="s">
        <v>108</v>
      </c>
      <c r="F117" s="141">
        <v>46936</v>
      </c>
      <c r="G117" s="32">
        <f>'[1]Lease Space Summary'!I10</f>
        <v>891784</v>
      </c>
      <c r="H117" s="32">
        <f>'[1]Lease Space Summary'!J10</f>
        <v>891784</v>
      </c>
      <c r="I117" s="32">
        <f>'[1]Lease Space Summary'!K10</f>
        <v>918537.52</v>
      </c>
      <c r="J117" s="32">
        <f>'[1]Lease Space Summary'!L10</f>
        <v>946093.6456</v>
      </c>
      <c r="K117" s="32">
        <f>'[1]Lease Space Summary'!M10</f>
        <v>974476.4549680001</v>
      </c>
      <c r="L117" s="32">
        <f>'[1]Lease Space Summary'!N10</f>
        <v>1003710.7486170401</v>
      </c>
      <c r="M117" s="32">
        <f>'[1]Lease Space Summary'!O10</f>
        <v>1033822.0710755513</v>
      </c>
      <c r="N117" s="32">
        <f>'[1]Lease Space Summary'!P10</f>
        <v>1064836.733207818</v>
      </c>
      <c r="O117" s="32">
        <f>'[1]Lease Space Summary'!Q10</f>
        <v>1096781.8352040525</v>
      </c>
      <c r="P117" s="32">
        <f>'[1]Lease Space Summary'!R10</f>
        <v>1129685.290260174</v>
      </c>
      <c r="Q117" s="32">
        <f>'[1]Lease Space Summary'!S10</f>
        <v>1163575.8489679794</v>
      </c>
      <c r="R117" s="32">
        <f>'[1]Lease Space Summary'!T10</f>
        <v>1198483.1244370188</v>
      </c>
      <c r="S117" s="32">
        <f>'[1]Lease Space Summary'!U10</f>
        <v>1234437.6181701294</v>
      </c>
      <c r="T117" s="32">
        <f>'[1]Lease Space Summary'!V10</f>
        <v>1271470.7467152332</v>
      </c>
      <c r="U117" s="32">
        <f>'[1]Lease Space Summary'!W10</f>
        <v>1309614.8691166902</v>
      </c>
      <c r="V117" s="32">
        <f>'[1]Lease Space Summary'!X10</f>
        <v>1348903.315190191</v>
      </c>
      <c r="W117" s="32">
        <f>'[1]Lease Space Summary'!Y10</f>
        <v>1389370.4146458968</v>
      </c>
      <c r="X117" s="32">
        <f>'[1]Lease Space Summary'!Z10</f>
        <v>1431051.5270852738</v>
      </c>
      <c r="Y117" s="32">
        <f>'[1]Lease Space Summary'!AA10</f>
        <v>1473983.072897832</v>
      </c>
      <c r="Z117" s="32">
        <f>'[1]Lease Space Summary'!AB10</f>
        <v>1518202.5650847668</v>
      </c>
      <c r="AA117" s="32">
        <f>'[1]Lease Space Summary'!AC10</f>
        <v>1563748.64203731</v>
      </c>
      <c r="AB117" s="32">
        <f>'[1]Lease Space Summary'!AD10</f>
        <v>1610661.1012984293</v>
      </c>
      <c r="AC117" s="32">
        <f>'[1]Lease Space Summary'!AE10</f>
        <v>1658980.9343373822</v>
      </c>
      <c r="AD117" s="32">
        <f>'[1]Lease Space Summary'!AF10</f>
        <v>1708750.3623675038</v>
      </c>
      <c r="AE117" s="32">
        <f>'[1]Lease Space Summary'!AG10</f>
        <v>1760012.873238529</v>
      </c>
      <c r="AF117" s="32">
        <f>'[1]Lease Space Summary'!AH10</f>
        <v>1812813.259435685</v>
      </c>
      <c r="AG117" s="32">
        <f>'[1]Lease Space Summary'!AI10</f>
        <v>1867197.6572187555</v>
      </c>
      <c r="AH117" s="32">
        <f>'[1]Lease Space Summary'!AJ10</f>
        <v>1923213.586935318</v>
      </c>
      <c r="AI117" s="32">
        <f>'[1]Lease Space Summary'!AK10</f>
        <v>1980909.9945433778</v>
      </c>
      <c r="AJ117" s="32">
        <f>'[1]Lease Space Summary'!AL10</f>
        <v>2040337.2943796793</v>
      </c>
      <c r="AK117" s="142">
        <f>'[1]Lease Space Summary'!AM10</f>
        <v>2101547.4132110695</v>
      </c>
    </row>
    <row r="118" spans="2:37" ht="12.75" hidden="1">
      <c r="B118" s="6" t="s">
        <v>109</v>
      </c>
      <c r="D118" s="106"/>
      <c r="E118" s="140" t="s">
        <v>107</v>
      </c>
      <c r="F118" s="141">
        <v>16797</v>
      </c>
      <c r="G118" s="32">
        <f>'[1]Lease Space Summary'!I11</f>
        <v>290893.385475</v>
      </c>
      <c r="H118" s="32">
        <f>'[1]Lease Space Summary'!J11</f>
        <v>299620.18703925004</v>
      </c>
      <c r="I118" s="32">
        <f>'[1]Lease Space Summary'!K11</f>
        <v>308608.79265042755</v>
      </c>
      <c r="J118" s="32">
        <f>'[1]Lease Space Summary'!L11</f>
        <v>317867.0564299404</v>
      </c>
      <c r="K118" s="32">
        <f>'[1]Lease Space Summary'!M11</f>
        <v>327403.0681228386</v>
      </c>
      <c r="L118" s="32">
        <f>'[1]Lease Space Summary'!N11</f>
        <v>337225.16016652377</v>
      </c>
      <c r="M118" s="32">
        <f>'[1]Lease Space Summary'!O11</f>
        <v>347341.9149715195</v>
      </c>
      <c r="N118" s="32">
        <f>'[1]Lease Space Summary'!P11</f>
        <v>357762.1724206651</v>
      </c>
      <c r="O118" s="32">
        <f>'[1]Lease Space Summary'!Q11</f>
        <v>368495.0375932851</v>
      </c>
      <c r="P118" s="32">
        <f>'[1]Lease Space Summary'!R11</f>
        <v>379549.88872108364</v>
      </c>
      <c r="Q118" s="32">
        <f>'[1]Lease Space Summary'!S11</f>
        <v>390936.38538271614</v>
      </c>
      <c r="R118" s="32">
        <f>'[1]Lease Space Summary'!T11</f>
        <v>402664.4769441976</v>
      </c>
      <c r="S118" s="32">
        <f>'[1]Lease Space Summary'!U11</f>
        <v>414744.41125252354</v>
      </c>
      <c r="T118" s="32">
        <f>'[1]Lease Space Summary'!V11</f>
        <v>427186.7435900993</v>
      </c>
      <c r="U118" s="32">
        <f>'[1]Lease Space Summary'!W11</f>
        <v>440002.34589780227</v>
      </c>
      <c r="V118" s="32">
        <f>'[1]Lease Space Summary'!X11</f>
        <v>453202.41627473634</v>
      </c>
      <c r="W118" s="32">
        <f>'[1]Lease Space Summary'!Y11</f>
        <v>466798.48876297846</v>
      </c>
      <c r="X118" s="32">
        <f>'[1]Lease Space Summary'!Z11</f>
        <v>480802.4434258678</v>
      </c>
      <c r="Y118" s="32">
        <f>'[1]Lease Space Summary'!AA11</f>
        <v>495226.51672864385</v>
      </c>
      <c r="Z118" s="32">
        <f>'[1]Lease Space Summary'!AB11</f>
        <v>510083.3122305032</v>
      </c>
      <c r="AA118" s="32">
        <f>'[1]Lease Space Summary'!AC11</f>
        <v>525385.8115974183</v>
      </c>
      <c r="AB118" s="32">
        <f>'[1]Lease Space Summary'!AD11</f>
        <v>541147.3859453409</v>
      </c>
      <c r="AC118" s="32">
        <f>'[1]Lease Space Summary'!AE11</f>
        <v>557381.8075237011</v>
      </c>
      <c r="AD118" s="32">
        <f>'[1]Lease Space Summary'!AF11</f>
        <v>574103.2617494122</v>
      </c>
      <c r="AE118" s="32">
        <f>'[1]Lease Space Summary'!AG11</f>
        <v>591326.3596018945</v>
      </c>
      <c r="AF118" s="32">
        <f>'[1]Lease Space Summary'!AH11</f>
        <v>609066.1503899513</v>
      </c>
      <c r="AG118" s="32">
        <f>'[1]Lease Space Summary'!AI11</f>
        <v>627338.1349016499</v>
      </c>
      <c r="AH118" s="32">
        <f>'[1]Lease Space Summary'!AJ11</f>
        <v>646158.2789486994</v>
      </c>
      <c r="AI118" s="32">
        <f>'[1]Lease Space Summary'!AK11</f>
        <v>665543.0273171604</v>
      </c>
      <c r="AJ118" s="32">
        <f>'[1]Lease Space Summary'!AL11</f>
        <v>685509.3181366752</v>
      </c>
      <c r="AK118" s="142">
        <f>'[1]Lease Space Summary'!AM11</f>
        <v>706074.5976807754</v>
      </c>
    </row>
    <row r="119" spans="2:37" ht="12.75" hidden="1">
      <c r="B119" s="6" t="s">
        <v>84</v>
      </c>
      <c r="D119" s="106"/>
      <c r="E119" s="140" t="s">
        <v>110</v>
      </c>
      <c r="F119" s="141">
        <v>6011</v>
      </c>
      <c r="G119" s="32">
        <f>'[1]Lease Space Summary'!I12</f>
        <v>120220</v>
      </c>
      <c r="H119" s="32">
        <f>'[1]Lease Space Summary'!J12</f>
        <v>123826.6</v>
      </c>
      <c r="I119" s="32">
        <f>'[1]Lease Space Summary'!K12</f>
        <v>127541.39800000002</v>
      </c>
      <c r="J119" s="32">
        <f>'[1]Lease Space Summary'!L12</f>
        <v>131367.63994000002</v>
      </c>
      <c r="K119" s="32">
        <f>'[1]Lease Space Summary'!M12</f>
        <v>135308.66913820003</v>
      </c>
      <c r="L119" s="32">
        <f>'[1]Lease Space Summary'!N12</f>
        <v>139367.92921234603</v>
      </c>
      <c r="M119" s="32">
        <f>'[1]Lease Space Summary'!O12</f>
        <v>143548.96708871642</v>
      </c>
      <c r="N119" s="32">
        <f>'[1]Lease Space Summary'!P12</f>
        <v>147855.4361013779</v>
      </c>
      <c r="O119" s="32">
        <f>'[1]Lease Space Summary'!Q12</f>
        <v>152291.09918441926</v>
      </c>
      <c r="P119" s="32">
        <f>'[1]Lease Space Summary'!R12</f>
        <v>156859.83215995185</v>
      </c>
      <c r="Q119" s="32">
        <f>'[1]Lease Space Summary'!S12</f>
        <v>161565.6271247504</v>
      </c>
      <c r="R119" s="32">
        <f>'[1]Lease Space Summary'!T12</f>
        <v>166412.59593849292</v>
      </c>
      <c r="S119" s="32">
        <f>'[1]Lease Space Summary'!U12</f>
        <v>171404.97381664772</v>
      </c>
      <c r="T119" s="32">
        <f>'[1]Lease Space Summary'!V12</f>
        <v>176547.12303114714</v>
      </c>
      <c r="U119" s="32">
        <f>'[1]Lease Space Summary'!W12</f>
        <v>181843.53672208157</v>
      </c>
      <c r="V119" s="32">
        <f>'[1]Lease Space Summary'!X12</f>
        <v>187298.84282374402</v>
      </c>
      <c r="W119" s="32">
        <f>'[1]Lease Space Summary'!Y12</f>
        <v>192917.80810845635</v>
      </c>
      <c r="X119" s="32">
        <f>'[1]Lease Space Summary'!Z12</f>
        <v>198705.34235171005</v>
      </c>
      <c r="Y119" s="32">
        <f>'[1]Lease Space Summary'!AA12</f>
        <v>204666.50262226135</v>
      </c>
      <c r="Z119" s="32">
        <f>'[1]Lease Space Summary'!AB12</f>
        <v>210806.4977009292</v>
      </c>
      <c r="AA119" s="32">
        <f>'[1]Lease Space Summary'!AC12</f>
        <v>217130.6926319571</v>
      </c>
      <c r="AB119" s="32">
        <f>'[1]Lease Space Summary'!AD12</f>
        <v>223644.6134109158</v>
      </c>
      <c r="AC119" s="32">
        <f>'[1]Lease Space Summary'!AE12</f>
        <v>230353.95181324327</v>
      </c>
      <c r="AD119" s="32">
        <f>'[1]Lease Space Summary'!AF12</f>
        <v>237264.57036764058</v>
      </c>
      <c r="AE119" s="32">
        <f>'[1]Lease Space Summary'!AG12</f>
        <v>244382.5074786698</v>
      </c>
      <c r="AF119" s="32">
        <f>'[1]Lease Space Summary'!AH12</f>
        <v>251713.9827030299</v>
      </c>
      <c r="AG119" s="32">
        <f>'[1]Lease Space Summary'!AI12</f>
        <v>259265.40218412082</v>
      </c>
      <c r="AH119" s="32">
        <f>'[1]Lease Space Summary'!AJ12</f>
        <v>267043.36424964445</v>
      </c>
      <c r="AI119" s="32">
        <f>'[1]Lease Space Summary'!AK12</f>
        <v>275054.6651771338</v>
      </c>
      <c r="AJ119" s="32">
        <f>'[1]Lease Space Summary'!AL12</f>
        <v>283306.3051324478</v>
      </c>
      <c r="AK119" s="142">
        <f>'[1]Lease Space Summary'!AM12</f>
        <v>291805.4942864212</v>
      </c>
    </row>
    <row r="120" spans="2:37" ht="12.75" hidden="1">
      <c r="B120" s="6" t="s">
        <v>84</v>
      </c>
      <c r="D120" s="106"/>
      <c r="E120" s="140" t="s">
        <v>111</v>
      </c>
      <c r="F120" s="141">
        <v>500</v>
      </c>
      <c r="G120" s="32">
        <f>'[1]Lease Space Summary'!I13</f>
        <v>10000</v>
      </c>
      <c r="H120" s="32">
        <f>'[1]Lease Space Summary'!J13</f>
        <v>10300</v>
      </c>
      <c r="I120" s="32">
        <f>'[1]Lease Space Summary'!K13</f>
        <v>10609</v>
      </c>
      <c r="J120" s="32">
        <f>'[1]Lease Space Summary'!L13</f>
        <v>10927.27</v>
      </c>
      <c r="K120" s="32">
        <f>'[1]Lease Space Summary'!M13</f>
        <v>11255.0881</v>
      </c>
      <c r="L120" s="32">
        <f>'[1]Lease Space Summary'!N13</f>
        <v>11592.740743</v>
      </c>
      <c r="M120" s="32">
        <f>'[1]Lease Space Summary'!O13</f>
        <v>11940.52296529</v>
      </c>
      <c r="N120" s="32">
        <f>'[1]Lease Space Summary'!P13</f>
        <v>12298.7386542487</v>
      </c>
      <c r="O120" s="32">
        <f>'[1]Lease Space Summary'!Q13</f>
        <v>12667.700813876161</v>
      </c>
      <c r="P120" s="32">
        <f>'[1]Lease Space Summary'!R13</f>
        <v>13047.731838292446</v>
      </c>
      <c r="Q120" s="32">
        <f>'[1]Lease Space Summary'!S13</f>
        <v>13439.16379344122</v>
      </c>
      <c r="R120" s="32">
        <f>'[1]Lease Space Summary'!T13</f>
        <v>13842.338707244457</v>
      </c>
      <c r="S120" s="32">
        <f>'[1]Lease Space Summary'!U13</f>
        <v>14257.60886846179</v>
      </c>
      <c r="T120" s="32">
        <f>'[1]Lease Space Summary'!V13</f>
        <v>14685.337134515645</v>
      </c>
      <c r="U120" s="32">
        <f>'[1]Lease Space Summary'!W13</f>
        <v>15125.897248551115</v>
      </c>
      <c r="V120" s="32">
        <f>'[1]Lease Space Summary'!X13</f>
        <v>15579.67416600765</v>
      </c>
      <c r="W120" s="32">
        <f>'[1]Lease Space Summary'!Y13</f>
        <v>16047.06439098788</v>
      </c>
      <c r="X120" s="32">
        <f>'[1]Lease Space Summary'!Z13</f>
        <v>16528.476322717517</v>
      </c>
      <c r="Y120" s="32">
        <f>'[1]Lease Space Summary'!AA13</f>
        <v>17024.330612399044</v>
      </c>
      <c r="Z120" s="32">
        <f>'[1]Lease Space Summary'!AB13</f>
        <v>17535.060530771018</v>
      </c>
      <c r="AA120" s="32">
        <f>'[1]Lease Space Summary'!AC13</f>
        <v>18061.11234669415</v>
      </c>
      <c r="AB120" s="32">
        <f>'[1]Lease Space Summary'!AD13</f>
        <v>18602.945717094975</v>
      </c>
      <c r="AC120" s="32">
        <f>'[1]Lease Space Summary'!AE13</f>
        <v>19161.034088607827</v>
      </c>
      <c r="AD120" s="32">
        <f>'[1]Lease Space Summary'!AF13</f>
        <v>19735.865111266063</v>
      </c>
      <c r="AE120" s="32">
        <f>'[1]Lease Space Summary'!AG13</f>
        <v>20327.941064604045</v>
      </c>
      <c r="AF120" s="32">
        <f>'[1]Lease Space Summary'!AH13</f>
        <v>20937.77929654217</v>
      </c>
      <c r="AG120" s="32">
        <f>'[1]Lease Space Summary'!AI13</f>
        <v>21565.912675438434</v>
      </c>
      <c r="AH120" s="32">
        <f>'[1]Lease Space Summary'!AJ13</f>
        <v>22212.890055701588</v>
      </c>
      <c r="AI120" s="32">
        <f>'[1]Lease Space Summary'!AK13</f>
        <v>22879.276757372634</v>
      </c>
      <c r="AJ120" s="32">
        <f>'[1]Lease Space Summary'!AL13</f>
        <v>23565.655060093814</v>
      </c>
      <c r="AK120" s="142">
        <f>'[1]Lease Space Summary'!AM13</f>
        <v>24272.624711896628</v>
      </c>
    </row>
    <row r="121" spans="2:37" ht="12.75" hidden="1">
      <c r="B121" s="6" t="s">
        <v>112</v>
      </c>
      <c r="D121" s="106"/>
      <c r="E121" s="140" t="s">
        <v>113</v>
      </c>
      <c r="F121" s="141">
        <v>6419</v>
      </c>
      <c r="G121" s="32">
        <f>'[1]Lease Space Summary'!I14</f>
        <v>128380</v>
      </c>
      <c r="H121" s="32">
        <f>'[1]Lease Space Summary'!J14</f>
        <v>132231.4</v>
      </c>
      <c r="I121" s="32">
        <f>'[1]Lease Space Summary'!K14</f>
        <v>136198.342</v>
      </c>
      <c r="J121" s="32">
        <f>'[1]Lease Space Summary'!L14</f>
        <v>140284.29226000002</v>
      </c>
      <c r="K121" s="32">
        <f>'[1]Lease Space Summary'!M14</f>
        <v>144492.82102780003</v>
      </c>
      <c r="L121" s="32">
        <f>'[1]Lease Space Summary'!N14</f>
        <v>148827.60565863404</v>
      </c>
      <c r="M121" s="32">
        <f>'[1]Lease Space Summary'!O14</f>
        <v>153292.43382839306</v>
      </c>
      <c r="N121" s="32">
        <f>'[1]Lease Space Summary'!P14</f>
        <v>157891.20684324484</v>
      </c>
      <c r="O121" s="32">
        <f>'[1]Lease Space Summary'!Q14</f>
        <v>162627.9430485422</v>
      </c>
      <c r="P121" s="32">
        <f>'[1]Lease Space Summary'!R14</f>
        <v>167506.78133999847</v>
      </c>
      <c r="Q121" s="32">
        <f>'[1]Lease Space Summary'!S14</f>
        <v>172531.98478019843</v>
      </c>
      <c r="R121" s="32">
        <f>'[1]Lease Space Summary'!T14</f>
        <v>177707.94432360437</v>
      </c>
      <c r="S121" s="32">
        <f>'[1]Lease Space Summary'!U14</f>
        <v>183039.1826533125</v>
      </c>
      <c r="T121" s="32">
        <f>'[1]Lease Space Summary'!V14</f>
        <v>188530.3581329119</v>
      </c>
      <c r="U121" s="32">
        <f>'[1]Lease Space Summary'!W14</f>
        <v>194186.26887689927</v>
      </c>
      <c r="V121" s="32">
        <f>'[1]Lease Space Summary'!X14</f>
        <v>200011.85694320625</v>
      </c>
      <c r="W121" s="32">
        <f>'[1]Lease Space Summary'!Y14</f>
        <v>206012.21265150246</v>
      </c>
      <c r="X121" s="32">
        <f>'[1]Lease Space Summary'!Z14</f>
        <v>212192.57903104753</v>
      </c>
      <c r="Y121" s="32">
        <f>'[1]Lease Space Summary'!AA14</f>
        <v>218558.35640197896</v>
      </c>
      <c r="Z121" s="32">
        <f>'[1]Lease Space Summary'!AB14</f>
        <v>225115.10709403834</v>
      </c>
      <c r="AA121" s="32">
        <f>'[1]Lease Space Summary'!AC14</f>
        <v>231868.5603068595</v>
      </c>
      <c r="AB121" s="32">
        <f>'[1]Lease Space Summary'!AD14</f>
        <v>238824.6171160653</v>
      </c>
      <c r="AC121" s="32">
        <f>'[1]Lease Space Summary'!AE14</f>
        <v>245989.35562954727</v>
      </c>
      <c r="AD121" s="32">
        <f>'[1]Lease Space Summary'!AF14</f>
        <v>253369.0362984337</v>
      </c>
      <c r="AE121" s="32">
        <f>'[1]Lease Space Summary'!AG14</f>
        <v>260970.10738738673</v>
      </c>
      <c r="AF121" s="32">
        <f>'[1]Lease Space Summary'!AH14</f>
        <v>268799.2106090083</v>
      </c>
      <c r="AG121" s="32">
        <f>'[1]Lease Space Summary'!AI14</f>
        <v>276863.1869272786</v>
      </c>
      <c r="AH121" s="32">
        <f>'[1]Lease Space Summary'!AJ14</f>
        <v>285169.08253509697</v>
      </c>
      <c r="AI121" s="32">
        <f>'[1]Lease Space Summary'!AK14</f>
        <v>293724.1550111499</v>
      </c>
      <c r="AJ121" s="32">
        <f>'[1]Lease Space Summary'!AL14</f>
        <v>302535.8796614844</v>
      </c>
      <c r="AK121" s="142">
        <f>'[1]Lease Space Summary'!AM14</f>
        <v>311611.9560513289</v>
      </c>
    </row>
    <row r="122" spans="2:37" ht="12.75" hidden="1">
      <c r="B122" s="6" t="s">
        <v>114</v>
      </c>
      <c r="D122" s="106"/>
      <c r="E122" s="140" t="s">
        <v>115</v>
      </c>
      <c r="F122" s="141">
        <v>3000</v>
      </c>
      <c r="G122" s="32">
        <f>'[1]Lease Space Summary'!I15</f>
        <v>69000</v>
      </c>
      <c r="H122" s="32">
        <f>'[1]Lease Space Summary'!J15</f>
        <v>71070</v>
      </c>
      <c r="I122" s="32">
        <f>'[1]Lease Space Summary'!K15</f>
        <v>73202.1</v>
      </c>
      <c r="J122" s="32">
        <f>'[1]Lease Space Summary'!L15</f>
        <v>75398.16300000002</v>
      </c>
      <c r="K122" s="32">
        <f>'[1]Lease Space Summary'!M15</f>
        <v>77660.10789000001</v>
      </c>
      <c r="L122" s="32">
        <f>'[1]Lease Space Summary'!N15</f>
        <v>79989.91112670001</v>
      </c>
      <c r="M122" s="32">
        <f>'[1]Lease Space Summary'!O15</f>
        <v>82389.60846050101</v>
      </c>
      <c r="N122" s="32">
        <f>'[1]Lease Space Summary'!P15</f>
        <v>84861.29671431605</v>
      </c>
      <c r="O122" s="32">
        <f>'[1]Lease Space Summary'!Q15</f>
        <v>87407.13561574553</v>
      </c>
      <c r="P122" s="32">
        <f>'[1]Lease Space Summary'!R15</f>
        <v>90029.3496842179</v>
      </c>
      <c r="Q122" s="32">
        <f>'[1]Lease Space Summary'!S15</f>
        <v>92730.23017474444</v>
      </c>
      <c r="R122" s="32">
        <f>'[1]Lease Space Summary'!T15</f>
        <v>95512.13707998677</v>
      </c>
      <c r="S122" s="32">
        <f>'[1]Lease Space Summary'!U15</f>
        <v>98377.50119238638</v>
      </c>
      <c r="T122" s="32">
        <f>'[1]Lease Space Summary'!V15</f>
        <v>101328.82622815797</v>
      </c>
      <c r="U122" s="32">
        <f>'[1]Lease Space Summary'!W15</f>
        <v>104368.69101500271</v>
      </c>
      <c r="V122" s="32">
        <f>'[1]Lease Space Summary'!X15</f>
        <v>107499.7517454528</v>
      </c>
      <c r="W122" s="32">
        <f>'[1]Lease Space Summary'!Y15</f>
        <v>110724.74429781639</v>
      </c>
      <c r="X122" s="32">
        <f>'[1]Lease Space Summary'!Z15</f>
        <v>114046.48662675088</v>
      </c>
      <c r="Y122" s="32">
        <f>'[1]Lease Space Summary'!AA15</f>
        <v>117467.8812255534</v>
      </c>
      <c r="Z122" s="32">
        <f>'[1]Lease Space Summary'!AB15</f>
        <v>120991.91766232</v>
      </c>
      <c r="AA122" s="32">
        <f>'[1]Lease Space Summary'!AC15</f>
        <v>124621.6751921896</v>
      </c>
      <c r="AB122" s="32">
        <f>'[1]Lease Space Summary'!AD15</f>
        <v>128360.3254479553</v>
      </c>
      <c r="AC122" s="32">
        <f>'[1]Lease Space Summary'!AE15</f>
        <v>132211.13521139396</v>
      </c>
      <c r="AD122" s="32">
        <f>'[1]Lease Space Summary'!AF15</f>
        <v>136177.46926773578</v>
      </c>
      <c r="AE122" s="32">
        <f>'[1]Lease Space Summary'!AG15</f>
        <v>140262.79334576786</v>
      </c>
      <c r="AF122" s="32">
        <f>'[1]Lease Space Summary'!AH15</f>
        <v>144470.6771461409</v>
      </c>
      <c r="AG122" s="32">
        <f>'[1]Lease Space Summary'!AI15</f>
        <v>148804.79746052512</v>
      </c>
      <c r="AH122" s="32">
        <f>'[1]Lease Space Summary'!AJ15</f>
        <v>153268.94138434087</v>
      </c>
      <c r="AI122" s="32">
        <f>'[1]Lease Space Summary'!AK15</f>
        <v>157867.0096258711</v>
      </c>
      <c r="AJ122" s="32">
        <f>'[1]Lease Space Summary'!AL15</f>
        <v>162603.01991464724</v>
      </c>
      <c r="AK122" s="142">
        <f>'[1]Lease Space Summary'!AM15</f>
        <v>167481.11051208666</v>
      </c>
    </row>
    <row r="123" spans="2:37" ht="12.75" hidden="1">
      <c r="B123" s="6" t="s">
        <v>116</v>
      </c>
      <c r="D123" s="106"/>
      <c r="E123" s="107"/>
      <c r="F123" s="141">
        <v>1125</v>
      </c>
      <c r="G123" s="32">
        <f>'[1]Lease Space Summary'!I16</f>
        <v>22500</v>
      </c>
      <c r="H123" s="32">
        <f>'[1]Lease Space Summary'!J16</f>
        <v>23175</v>
      </c>
      <c r="I123" s="32">
        <f>'[1]Lease Space Summary'!K16</f>
        <v>23870.25</v>
      </c>
      <c r="J123" s="32">
        <f>'[1]Lease Space Summary'!L16</f>
        <v>24586.357500000002</v>
      </c>
      <c r="K123" s="32">
        <f>'[1]Lease Space Summary'!M16</f>
        <v>25323.948225000004</v>
      </c>
      <c r="L123" s="32">
        <f>'[1]Lease Space Summary'!N16</f>
        <v>26083.666671750005</v>
      </c>
      <c r="M123" s="32">
        <f>'[1]Lease Space Summary'!O16</f>
        <v>26866.176671902507</v>
      </c>
      <c r="N123" s="32">
        <f>'[1]Lease Space Summary'!P16</f>
        <v>27672.161972059585</v>
      </c>
      <c r="O123" s="32">
        <f>'[1]Lease Space Summary'!Q16</f>
        <v>28502.326831221373</v>
      </c>
      <c r="P123" s="32">
        <f>'[1]Lease Space Summary'!R16</f>
        <v>29357.396636158013</v>
      </c>
      <c r="Q123" s="32">
        <f>'[1]Lease Space Summary'!S16</f>
        <v>30238.118535242753</v>
      </c>
      <c r="R123" s="32">
        <f>'[1]Lease Space Summary'!T16</f>
        <v>31145.262091300036</v>
      </c>
      <c r="S123" s="32">
        <f>'[1]Lease Space Summary'!U16</f>
        <v>32079.619954039037</v>
      </c>
      <c r="T123" s="32">
        <f>'[1]Lease Space Summary'!V16</f>
        <v>33042.00855266021</v>
      </c>
      <c r="U123" s="32">
        <f>'[1]Lease Space Summary'!W16</f>
        <v>34033.26880924002</v>
      </c>
      <c r="V123" s="32">
        <f>'[1]Lease Space Summary'!X16</f>
        <v>35054.26687351722</v>
      </c>
      <c r="W123" s="32">
        <f>'[1]Lease Space Summary'!Y16</f>
        <v>36105.894879722735</v>
      </c>
      <c r="X123" s="32">
        <f>'[1]Lease Space Summary'!Z16</f>
        <v>37189.07172611442</v>
      </c>
      <c r="Y123" s="32">
        <f>'[1]Lease Space Summary'!AA16</f>
        <v>38304.74387789785</v>
      </c>
      <c r="Z123" s="32">
        <f>'[1]Lease Space Summary'!AB16</f>
        <v>39453.88619423479</v>
      </c>
      <c r="AA123" s="32">
        <f>'[1]Lease Space Summary'!AC16</f>
        <v>40637.50278006183</v>
      </c>
      <c r="AB123" s="32">
        <f>'[1]Lease Space Summary'!AD16</f>
        <v>41856.62786346369</v>
      </c>
      <c r="AC123" s="32">
        <f>'[1]Lease Space Summary'!AE16</f>
        <v>43112.3266993676</v>
      </c>
      <c r="AD123" s="32">
        <f>'[1]Lease Space Summary'!AF16</f>
        <v>44405.69650034863</v>
      </c>
      <c r="AE123" s="32">
        <f>'[1]Lease Space Summary'!AG16</f>
        <v>45737.86739535909</v>
      </c>
      <c r="AF123" s="32">
        <f>'[1]Lease Space Summary'!AH16</f>
        <v>47110.003417219865</v>
      </c>
      <c r="AG123" s="32">
        <f>'[1]Lease Space Summary'!AI16</f>
        <v>48523.30351973646</v>
      </c>
      <c r="AH123" s="32">
        <f>'[1]Lease Space Summary'!AJ16</f>
        <v>49979.002625328554</v>
      </c>
      <c r="AI123" s="32">
        <f>'[1]Lease Space Summary'!AK16</f>
        <v>51478.37270408841</v>
      </c>
      <c r="AJ123" s="32">
        <f>'[1]Lease Space Summary'!AL16</f>
        <v>53022.72388521107</v>
      </c>
      <c r="AK123" s="142">
        <f>'[1]Lease Space Summary'!AM16</f>
        <v>54613.4056017674</v>
      </c>
    </row>
    <row r="124" spans="2:37" ht="12.75" hidden="1">
      <c r="B124" s="6" t="s">
        <v>117</v>
      </c>
      <c r="D124" s="106"/>
      <c r="E124" s="107"/>
      <c r="F124" s="141">
        <v>5038</v>
      </c>
      <c r="G124" s="32">
        <f>'[1]Lease Space Summary'!I17</f>
        <v>100760</v>
      </c>
      <c r="H124" s="32">
        <f>'[1]Lease Space Summary'!J17</f>
        <v>103782.8</v>
      </c>
      <c r="I124" s="32">
        <f>'[1]Lease Space Summary'!K17</f>
        <v>106896.284</v>
      </c>
      <c r="J124" s="32">
        <f>'[1]Lease Space Summary'!L17</f>
        <v>110103.17252000001</v>
      </c>
      <c r="K124" s="32">
        <f>'[1]Lease Space Summary'!M17</f>
        <v>113406.2676956</v>
      </c>
      <c r="L124" s="32">
        <f>'[1]Lease Space Summary'!N17</f>
        <v>116808.455726468</v>
      </c>
      <c r="M124" s="32">
        <f>'[1]Lease Space Summary'!O17</f>
        <v>120312.70939826204</v>
      </c>
      <c r="N124" s="32">
        <f>'[1]Lease Space Summary'!P17</f>
        <v>123922.0906802099</v>
      </c>
      <c r="O124" s="32">
        <f>'[1]Lease Space Summary'!Q17</f>
        <v>127639.7534006162</v>
      </c>
      <c r="P124" s="32">
        <f>'[1]Lease Space Summary'!R17</f>
        <v>131468.94600263468</v>
      </c>
      <c r="Q124" s="32">
        <f>'[1]Lease Space Summary'!S17</f>
        <v>135413.01438271374</v>
      </c>
      <c r="R124" s="32">
        <f>'[1]Lease Space Summary'!T17</f>
        <v>139475.40481419515</v>
      </c>
      <c r="S124" s="32">
        <f>'[1]Lease Space Summary'!U17</f>
        <v>143659.666958621</v>
      </c>
      <c r="T124" s="32">
        <f>'[1]Lease Space Summary'!V17</f>
        <v>147969.45696737964</v>
      </c>
      <c r="U124" s="32">
        <f>'[1]Lease Space Summary'!W17</f>
        <v>152408.54067640103</v>
      </c>
      <c r="V124" s="32">
        <f>'[1]Lease Space Summary'!X17</f>
        <v>156980.79689669306</v>
      </c>
      <c r="W124" s="32">
        <f>'[1]Lease Space Summary'!Y17</f>
        <v>161690.22080359387</v>
      </c>
      <c r="X124" s="32">
        <f>'[1]Lease Space Summary'!Z17</f>
        <v>166540.92742770168</v>
      </c>
      <c r="Y124" s="32">
        <f>'[1]Lease Space Summary'!AA17</f>
        <v>171537.15525053273</v>
      </c>
      <c r="Z124" s="32">
        <f>'[1]Lease Space Summary'!AB17</f>
        <v>176683.2699080487</v>
      </c>
      <c r="AA124" s="32">
        <f>'[1]Lease Space Summary'!AC17</f>
        <v>181983.76800529019</v>
      </c>
      <c r="AB124" s="32">
        <f>'[1]Lease Space Summary'!AD17</f>
        <v>187443.2810454489</v>
      </c>
      <c r="AC124" s="32">
        <f>'[1]Lease Space Summary'!AE17</f>
        <v>193066.5794768124</v>
      </c>
      <c r="AD124" s="32">
        <f>'[1]Lease Space Summary'!AF17</f>
        <v>198858.57686111677</v>
      </c>
      <c r="AE124" s="32">
        <f>'[1]Lease Space Summary'!AG17</f>
        <v>204824.33416695028</v>
      </c>
      <c r="AF124" s="32">
        <f>'[1]Lease Space Summary'!AH17</f>
        <v>210969.0641919588</v>
      </c>
      <c r="AG124" s="32">
        <f>'[1]Lease Space Summary'!AI17</f>
        <v>217298.13611771757</v>
      </c>
      <c r="AH124" s="32">
        <f>'[1]Lease Space Summary'!AJ17</f>
        <v>223817.0802012491</v>
      </c>
      <c r="AI124" s="32">
        <f>'[1]Lease Space Summary'!AK17</f>
        <v>230531.59260728658</v>
      </c>
      <c r="AJ124" s="32">
        <f>'[1]Lease Space Summary'!AL17</f>
        <v>237447.54038550518</v>
      </c>
      <c r="AK124" s="142">
        <f>'[1]Lease Space Summary'!AM17</f>
        <v>244570.96659707034</v>
      </c>
    </row>
    <row r="125" spans="2:37" ht="12.75" hidden="1">
      <c r="B125" s="6" t="s">
        <v>118</v>
      </c>
      <c r="D125" s="106"/>
      <c r="E125" s="107"/>
      <c r="F125" s="141">
        <v>6473</v>
      </c>
      <c r="G125" s="32">
        <f>'[1]Lease Space Summary'!I18</f>
        <v>64730</v>
      </c>
      <c r="H125" s="32">
        <f>'[1]Lease Space Summary'!J18</f>
        <v>66671.9</v>
      </c>
      <c r="I125" s="32">
        <f>'[1]Lease Space Summary'!K18</f>
        <v>68672.05700000002</v>
      </c>
      <c r="J125" s="32">
        <f>'[1]Lease Space Summary'!L18</f>
        <v>70732.21871000002</v>
      </c>
      <c r="K125" s="32">
        <f>'[1]Lease Space Summary'!M18</f>
        <v>72854.18527130001</v>
      </c>
      <c r="L125" s="32">
        <f>'[1]Lease Space Summary'!N18</f>
        <v>75039.81082943901</v>
      </c>
      <c r="M125" s="32">
        <f>'[1]Lease Space Summary'!O18</f>
        <v>77291.00515432218</v>
      </c>
      <c r="N125" s="32">
        <f>'[1]Lease Space Summary'!P18</f>
        <v>79609.73530895184</v>
      </c>
      <c r="O125" s="32">
        <f>'[1]Lease Space Summary'!Q18</f>
        <v>81998.0273682204</v>
      </c>
      <c r="P125" s="32">
        <f>'[1]Lease Space Summary'!R18</f>
        <v>84457.96818926702</v>
      </c>
      <c r="Q125" s="32">
        <f>'[1]Lease Space Summary'!S18</f>
        <v>86991.70723494503</v>
      </c>
      <c r="R125" s="32">
        <f>'[1]Lease Space Summary'!T18</f>
        <v>89601.45845199339</v>
      </c>
      <c r="S125" s="32">
        <f>'[1]Lease Space Summary'!U18</f>
        <v>92289.50220555319</v>
      </c>
      <c r="T125" s="32">
        <f>'[1]Lease Space Summary'!V18</f>
        <v>95058.18727171978</v>
      </c>
      <c r="U125" s="32">
        <f>'[1]Lease Space Summary'!W18</f>
        <v>97909.93288987139</v>
      </c>
      <c r="V125" s="32">
        <f>'[1]Lease Space Summary'!X18</f>
        <v>100847.23087656753</v>
      </c>
      <c r="W125" s="32">
        <f>'[1]Lease Space Summary'!Y18</f>
        <v>103872.64780286455</v>
      </c>
      <c r="X125" s="32">
        <f>'[1]Lease Space Summary'!Z18</f>
        <v>106988.82723695048</v>
      </c>
      <c r="Y125" s="32">
        <f>'[1]Lease Space Summary'!AA18</f>
        <v>110198.492054059</v>
      </c>
      <c r="Z125" s="32">
        <f>'[1]Lease Space Summary'!AB18</f>
        <v>113504.44681568077</v>
      </c>
      <c r="AA125" s="32">
        <f>'[1]Lease Space Summary'!AC18</f>
        <v>116909.5802201512</v>
      </c>
      <c r="AB125" s="32">
        <f>'[1]Lease Space Summary'!AD18</f>
        <v>120416.86762675573</v>
      </c>
      <c r="AC125" s="32">
        <f>'[1]Lease Space Summary'!AE18</f>
        <v>124029.3736555584</v>
      </c>
      <c r="AD125" s="32">
        <f>'[1]Lease Space Summary'!AF18</f>
        <v>127750.25486522516</v>
      </c>
      <c r="AE125" s="32">
        <f>'[1]Lease Space Summary'!AG18</f>
        <v>131582.7625111819</v>
      </c>
      <c r="AF125" s="32">
        <f>'[1]Lease Space Summary'!AH18</f>
        <v>135530.24538651737</v>
      </c>
      <c r="AG125" s="32">
        <f>'[1]Lease Space Summary'!AI18</f>
        <v>139596.1527481129</v>
      </c>
      <c r="AH125" s="32">
        <f>'[1]Lease Space Summary'!AJ18</f>
        <v>143784.03733055628</v>
      </c>
      <c r="AI125" s="32">
        <f>'[1]Lease Space Summary'!AK18</f>
        <v>148097.55845047298</v>
      </c>
      <c r="AJ125" s="32">
        <f>'[1]Lease Space Summary'!AL18</f>
        <v>152540.48520398716</v>
      </c>
      <c r="AK125" s="142">
        <f>'[1]Lease Space Summary'!AM18</f>
        <v>157116.69976010677</v>
      </c>
    </row>
    <row r="126" spans="2:37" ht="12.75" hidden="1">
      <c r="B126" s="6" t="s">
        <v>119</v>
      </c>
      <c r="D126" s="106"/>
      <c r="E126" s="107"/>
      <c r="F126" s="143">
        <v>16573</v>
      </c>
      <c r="G126" s="32">
        <f>'[1]Lease Space Summary'!I19</f>
        <v>248595</v>
      </c>
      <c r="H126" s="32">
        <f>'[1]Lease Space Summary'!J19</f>
        <v>256052.85</v>
      </c>
      <c r="I126" s="32">
        <f>'[1]Lease Space Summary'!K19</f>
        <v>263734.4355</v>
      </c>
      <c r="J126" s="32">
        <f>'[1]Lease Space Summary'!L19</f>
        <v>271646.46856500005</v>
      </c>
      <c r="K126" s="32">
        <f>'[1]Lease Space Summary'!M19</f>
        <v>279795.86262195004</v>
      </c>
      <c r="L126" s="32">
        <f>'[1]Lease Space Summary'!N19</f>
        <v>288189.73850060854</v>
      </c>
      <c r="M126" s="32">
        <f>'[1]Lease Space Summary'!O19</f>
        <v>296835.4306556268</v>
      </c>
      <c r="N126" s="32">
        <f>'[1]Lease Space Summary'!P19</f>
        <v>305740.4935752956</v>
      </c>
      <c r="O126" s="32">
        <f>'[1]Lease Space Summary'!Q19</f>
        <v>314912.70838255447</v>
      </c>
      <c r="P126" s="32">
        <f>'[1]Lease Space Summary'!R19</f>
        <v>324360.0896340311</v>
      </c>
      <c r="Q126" s="32">
        <f>'[1]Lease Space Summary'!S19</f>
        <v>334090.89232305204</v>
      </c>
      <c r="R126" s="32">
        <f>'[1]Lease Space Summary'!T19</f>
        <v>344113.6190927436</v>
      </c>
      <c r="S126" s="32">
        <f>'[1]Lease Space Summary'!U19</f>
        <v>354437.0276655259</v>
      </c>
      <c r="T126" s="32">
        <f>'[1]Lease Space Summary'!V19</f>
        <v>365070.1384954917</v>
      </c>
      <c r="U126" s="32">
        <f>'[1]Lease Space Summary'!W19</f>
        <v>376022.24265035643</v>
      </c>
      <c r="V126" s="32">
        <f>'[1]Lease Space Summary'!X19</f>
        <v>387302.90992986714</v>
      </c>
      <c r="W126" s="32">
        <f>'[1]Lease Space Summary'!Y19</f>
        <v>398921.9972277632</v>
      </c>
      <c r="X126" s="32">
        <f>'[1]Lease Space Summary'!Z19</f>
        <v>410889.6571445961</v>
      </c>
      <c r="Y126" s="32">
        <f>'[1]Lease Space Summary'!AA19</f>
        <v>423216.346858934</v>
      </c>
      <c r="Z126" s="32">
        <f>'[1]Lease Space Summary'!AB19</f>
        <v>435912.837264702</v>
      </c>
      <c r="AA126" s="32">
        <f>'[1]Lease Space Summary'!AC19</f>
        <v>448990.2223826431</v>
      </c>
      <c r="AB126" s="32">
        <f>'[1]Lease Space Summary'!AD19</f>
        <v>462459.9290541224</v>
      </c>
      <c r="AC126" s="32">
        <f>'[1]Lease Space Summary'!AE19</f>
        <v>476333.72692574613</v>
      </c>
      <c r="AD126" s="32">
        <f>'[1]Lease Space Summary'!AF19</f>
        <v>490623.7387335185</v>
      </c>
      <c r="AE126" s="32">
        <f>'[1]Lease Space Summary'!AG19</f>
        <v>505342.45089552406</v>
      </c>
      <c r="AF126" s="32">
        <f>'[1]Lease Space Summary'!AH19</f>
        <v>520502.7244223898</v>
      </c>
      <c r="AG126" s="32">
        <f>'[1]Lease Space Summary'!AI19</f>
        <v>536117.8061550616</v>
      </c>
      <c r="AH126" s="32">
        <f>'[1]Lease Space Summary'!AJ19</f>
        <v>552201.3403397135</v>
      </c>
      <c r="AI126" s="32">
        <f>'[1]Lease Space Summary'!AK19</f>
        <v>568767.3805499049</v>
      </c>
      <c r="AJ126" s="32">
        <f>'[1]Lease Space Summary'!AL19</f>
        <v>585830.4019664021</v>
      </c>
      <c r="AK126" s="142">
        <f>'[1]Lease Space Summary'!AM19</f>
        <v>603405.3140253942</v>
      </c>
    </row>
    <row r="127" spans="4:37" ht="12.75" hidden="1">
      <c r="D127" s="106"/>
      <c r="E127" s="97"/>
      <c r="F127" s="109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15"/>
    </row>
    <row r="128" spans="4:37" ht="12.75" hidden="1">
      <c r="D128" s="106"/>
      <c r="E128" s="97"/>
      <c r="F128" s="144">
        <f aca="true" t="shared" si="30" ref="F128:AK128">SUM(F112:F127)</f>
        <v>295135</v>
      </c>
      <c r="G128" s="32">
        <f t="shared" si="30"/>
        <v>5520723.955475001</v>
      </c>
      <c r="H128" s="32">
        <f t="shared" si="30"/>
        <v>5643293.414139249</v>
      </c>
      <c r="I128" s="32">
        <f t="shared" si="30"/>
        <v>5795967.501763428</v>
      </c>
      <c r="J128" s="32">
        <f t="shared" si="30"/>
        <v>5952889.317720329</v>
      </c>
      <c r="K128" s="32">
        <f t="shared" si="30"/>
        <v>6114179.643974021</v>
      </c>
      <c r="L128" s="32">
        <f t="shared" si="30"/>
        <v>6279962.752949762</v>
      </c>
      <c r="M128" s="32">
        <f t="shared" si="30"/>
        <v>6450366.509587906</v>
      </c>
      <c r="N128" s="32">
        <f t="shared" si="30"/>
        <v>6643877.504875544</v>
      </c>
      <c r="O128" s="32">
        <f t="shared" si="30"/>
        <v>6843193.830021812</v>
      </c>
      <c r="P128" s="32">
        <f t="shared" si="30"/>
        <v>7048489.644922467</v>
      </c>
      <c r="Q128" s="32">
        <f t="shared" si="30"/>
        <v>7259944.33427014</v>
      </c>
      <c r="R128" s="32">
        <f t="shared" si="30"/>
        <v>7477742.664298244</v>
      </c>
      <c r="S128" s="32">
        <f t="shared" si="30"/>
        <v>7702074.9442271935</v>
      </c>
      <c r="T128" s="32">
        <f t="shared" si="30"/>
        <v>7933137.192554008</v>
      </c>
      <c r="U128" s="32">
        <f t="shared" si="30"/>
        <v>8171131.308330627</v>
      </c>
      <c r="V128" s="32">
        <f t="shared" si="30"/>
        <v>8416265.247580549</v>
      </c>
      <c r="W128" s="32">
        <f t="shared" si="30"/>
        <v>8668753.205007965</v>
      </c>
      <c r="X128" s="32">
        <f t="shared" si="30"/>
        <v>8928815.801158205</v>
      </c>
      <c r="Y128" s="32">
        <f t="shared" si="30"/>
        <v>9196680.275192948</v>
      </c>
      <c r="Z128" s="32">
        <f t="shared" si="30"/>
        <v>9472580.683448737</v>
      </c>
      <c r="AA128" s="32">
        <f t="shared" si="30"/>
        <v>9756758.103952201</v>
      </c>
      <c r="AB128" s="32">
        <f t="shared" si="30"/>
        <v>10049460.847070768</v>
      </c>
      <c r="AC128" s="32">
        <f t="shared" si="30"/>
        <v>10350944.67248289</v>
      </c>
      <c r="AD128" s="32">
        <f t="shared" si="30"/>
        <v>10661473.012657376</v>
      </c>
      <c r="AE128" s="32">
        <f t="shared" si="30"/>
        <v>10981317.203037098</v>
      </c>
      <c r="AF128" s="32">
        <f t="shared" si="30"/>
        <v>11310756.719128208</v>
      </c>
      <c r="AG128" s="32">
        <f t="shared" si="30"/>
        <v>11650079.42070206</v>
      </c>
      <c r="AH128" s="32">
        <f t="shared" si="30"/>
        <v>11999581.803323124</v>
      </c>
      <c r="AI128" s="32">
        <f t="shared" si="30"/>
        <v>12359569.257422812</v>
      </c>
      <c r="AJ128" s="32">
        <f t="shared" si="30"/>
        <v>12730356.3351455</v>
      </c>
      <c r="AK128" s="142">
        <f t="shared" si="30"/>
        <v>13112267.02519987</v>
      </c>
    </row>
    <row r="129" spans="4:37" ht="12.75" hidden="1">
      <c r="D129" s="106"/>
      <c r="E129" s="97"/>
      <c r="F129" s="109" t="s">
        <v>120</v>
      </c>
      <c r="G129" s="145">
        <f aca="true" t="shared" si="31" ref="G129:AK129">G128/$F$128</f>
        <v>18.70575823089434</v>
      </c>
      <c r="H129" s="145">
        <f t="shared" si="31"/>
        <v>19.121057868904906</v>
      </c>
      <c r="I129" s="145">
        <f t="shared" si="31"/>
        <v>19.63836041731217</v>
      </c>
      <c r="J129" s="145">
        <f t="shared" si="31"/>
        <v>20.17005545841845</v>
      </c>
      <c r="K129" s="145">
        <f t="shared" si="31"/>
        <v>20.716552235329665</v>
      </c>
      <c r="L129" s="145">
        <f t="shared" si="31"/>
        <v>21.278271817811383</v>
      </c>
      <c r="M129" s="145">
        <f t="shared" si="31"/>
        <v>21.855647448075988</v>
      </c>
      <c r="N129" s="145">
        <f t="shared" si="31"/>
        <v>22.511316871518268</v>
      </c>
      <c r="O129" s="145">
        <f t="shared" si="31"/>
        <v>23.18665637766382</v>
      </c>
      <c r="P129" s="145">
        <f t="shared" si="31"/>
        <v>23.882256068993737</v>
      </c>
      <c r="Q129" s="145">
        <f t="shared" si="31"/>
        <v>24.59872375106355</v>
      </c>
      <c r="R129" s="145">
        <f t="shared" si="31"/>
        <v>25.33668546359545</v>
      </c>
      <c r="S129" s="145">
        <f t="shared" si="31"/>
        <v>26.096786027503324</v>
      </c>
      <c r="T129" s="145">
        <f t="shared" si="31"/>
        <v>26.87968960832842</v>
      </c>
      <c r="U129" s="145">
        <f t="shared" si="31"/>
        <v>27.686080296578268</v>
      </c>
      <c r="V129" s="145">
        <f t="shared" si="31"/>
        <v>28.516662705475625</v>
      </c>
      <c r="W129" s="145">
        <f t="shared" si="31"/>
        <v>29.37216258663989</v>
      </c>
      <c r="X129" s="145">
        <f t="shared" si="31"/>
        <v>30.253327464239092</v>
      </c>
      <c r="Y129" s="145">
        <f t="shared" si="31"/>
        <v>31.160927288166256</v>
      </c>
      <c r="Z129" s="145">
        <f t="shared" si="31"/>
        <v>32.09575510681125</v>
      </c>
      <c r="AA129" s="145">
        <f t="shared" si="31"/>
        <v>33.05862776001559</v>
      </c>
      <c r="AB129" s="145">
        <f t="shared" si="31"/>
        <v>34.05038659281606</v>
      </c>
      <c r="AC129" s="145">
        <f t="shared" si="31"/>
        <v>35.071898190600535</v>
      </c>
      <c r="AD129" s="145">
        <f t="shared" si="31"/>
        <v>36.12405513631855</v>
      </c>
      <c r="AE129" s="145">
        <f t="shared" si="31"/>
        <v>37.20777679040811</v>
      </c>
      <c r="AF129" s="145">
        <f t="shared" si="31"/>
        <v>38.32401009412035</v>
      </c>
      <c r="AG129" s="145">
        <f t="shared" si="31"/>
        <v>39.47373039694398</v>
      </c>
      <c r="AH129" s="145">
        <f t="shared" si="31"/>
        <v>40.6579423088523</v>
      </c>
      <c r="AI129" s="145">
        <f t="shared" si="31"/>
        <v>41.877680578117854</v>
      </c>
      <c r="AJ129" s="145">
        <f t="shared" si="31"/>
        <v>43.134010995461395</v>
      </c>
      <c r="AK129" s="146">
        <f t="shared" si="31"/>
        <v>44.42803132532526</v>
      </c>
    </row>
    <row r="130" spans="4:37" ht="12.75">
      <c r="D130" s="106"/>
      <c r="E130" s="97"/>
      <c r="F130" s="109"/>
      <c r="G130" s="37"/>
      <c r="H130" s="37"/>
      <c r="I130" s="37"/>
      <c r="J130" s="37"/>
      <c r="K130" s="37"/>
      <c r="L130" s="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87"/>
    </row>
    <row r="131" spans="4:37" ht="12.75">
      <c r="D131" s="106"/>
      <c r="E131" s="97"/>
      <c r="F131" s="109"/>
      <c r="G131" s="37"/>
      <c r="H131" s="37"/>
      <c r="I131" s="37"/>
      <c r="J131" s="37"/>
      <c r="K131" s="37"/>
      <c r="L131" s="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87"/>
    </row>
    <row r="132" spans="4:37" ht="15.75">
      <c r="D132" s="106"/>
      <c r="E132" s="113" t="s">
        <v>121</v>
      </c>
      <c r="F132" s="147" t="s">
        <v>122</v>
      </c>
      <c r="G132" s="37"/>
      <c r="H132" s="37"/>
      <c r="I132" s="37"/>
      <c r="J132" s="37"/>
      <c r="K132" s="37"/>
      <c r="L132" s="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87"/>
    </row>
    <row r="133" spans="4:37" ht="12.75">
      <c r="D133" s="106"/>
      <c r="E133" s="97"/>
      <c r="F133" s="109" t="s">
        <v>123</v>
      </c>
      <c r="G133" s="57">
        <f aca="true" t="shared" si="32" ref="G133:AJ133">G207</f>
        <v>2113810</v>
      </c>
      <c r="H133" s="110">
        <f t="shared" si="32"/>
        <v>2475568.789</v>
      </c>
      <c r="I133" s="110">
        <f t="shared" si="32"/>
        <v>2549835.85267</v>
      </c>
      <c r="J133" s="110">
        <f t="shared" si="32"/>
        <v>2626330.9282501</v>
      </c>
      <c r="K133" s="110">
        <f t="shared" si="32"/>
        <v>2705120.856097603</v>
      </c>
      <c r="L133" s="110">
        <f t="shared" si="32"/>
        <v>2786274.4817805314</v>
      </c>
      <c r="M133" s="110">
        <f t="shared" si="32"/>
        <v>2869862.7162339473</v>
      </c>
      <c r="N133" s="110">
        <f t="shared" si="32"/>
        <v>2955958.5977209657</v>
      </c>
      <c r="O133" s="110">
        <f t="shared" si="32"/>
        <v>3044637.355652595</v>
      </c>
      <c r="P133" s="110">
        <f t="shared" si="32"/>
        <v>3135976.4763221727</v>
      </c>
      <c r="Q133" s="110">
        <f t="shared" si="32"/>
        <v>3230055.770611838</v>
      </c>
      <c r="R133" s="110">
        <f t="shared" si="32"/>
        <v>3326957.443730193</v>
      </c>
      <c r="S133" s="110">
        <f t="shared" si="32"/>
        <v>3426766.167042099</v>
      </c>
      <c r="T133" s="110">
        <f t="shared" si="32"/>
        <v>3529569.152053362</v>
      </c>
      <c r="U133" s="110">
        <f t="shared" si="32"/>
        <v>3635456.2266149633</v>
      </c>
      <c r="V133" s="110">
        <f t="shared" si="32"/>
        <v>3744519.9134134124</v>
      </c>
      <c r="W133" s="110">
        <f t="shared" si="32"/>
        <v>3856855.510815815</v>
      </c>
      <c r="X133" s="110">
        <f t="shared" si="32"/>
        <v>3972561.1761402898</v>
      </c>
      <c r="Y133" s="110">
        <f t="shared" si="32"/>
        <v>4091738.0114244986</v>
      </c>
      <c r="Z133" s="110">
        <f t="shared" si="32"/>
        <v>4214490.151767233</v>
      </c>
      <c r="AA133" s="110">
        <f t="shared" si="32"/>
        <v>4340924.856320251</v>
      </c>
      <c r="AB133" s="110">
        <f t="shared" si="32"/>
        <v>4471152.602009858</v>
      </c>
      <c r="AC133" s="110">
        <f t="shared" si="32"/>
        <v>4605287.180070153</v>
      </c>
      <c r="AD133" s="110">
        <f t="shared" si="32"/>
        <v>4743445.795472258</v>
      </c>
      <c r="AE133" s="110">
        <f t="shared" si="32"/>
        <v>4885749.169336426</v>
      </c>
      <c r="AF133" s="110">
        <f t="shared" si="32"/>
        <v>5032321.644416519</v>
      </c>
      <c r="AG133" s="110">
        <f t="shared" si="32"/>
        <v>5183291.293749015</v>
      </c>
      <c r="AH133" s="110">
        <f t="shared" si="32"/>
        <v>5338790.032561486</v>
      </c>
      <c r="AI133" s="110">
        <f t="shared" si="32"/>
        <v>5498953.7335383305</v>
      </c>
      <c r="AJ133" s="110">
        <f t="shared" si="32"/>
        <v>5663922.345544481</v>
      </c>
      <c r="AK133" s="87"/>
    </row>
    <row r="134" spans="4:37" ht="12.75">
      <c r="D134" s="106"/>
      <c r="E134" s="97"/>
      <c r="F134" s="109" t="s">
        <v>124</v>
      </c>
      <c r="G134" s="110">
        <f aca="true" t="shared" si="33" ref="G134:AJ134">-G203</f>
        <v>0</v>
      </c>
      <c r="H134" s="110">
        <f t="shared" si="33"/>
        <v>-1278313.1305338934</v>
      </c>
      <c r="I134" s="110">
        <f t="shared" si="33"/>
        <v>-1279082.7923077645</v>
      </c>
      <c r="J134" s="110">
        <f t="shared" si="33"/>
        <v>-1278856.4211978025</v>
      </c>
      <c r="K134" s="110">
        <f t="shared" si="33"/>
        <v>-1278539.5016438556</v>
      </c>
      <c r="L134" s="110">
        <f t="shared" si="33"/>
        <v>-1278992.2438637798</v>
      </c>
      <c r="M134" s="110">
        <f t="shared" si="33"/>
        <v>-1278313.1305338934</v>
      </c>
      <c r="N134" s="110">
        <f t="shared" si="33"/>
        <v>-1278313.1305338934</v>
      </c>
      <c r="O134" s="110">
        <f t="shared" si="33"/>
        <v>-1278901.6954197949</v>
      </c>
      <c r="P134" s="110">
        <f t="shared" si="33"/>
        <v>-1279082.7923077645</v>
      </c>
      <c r="Q134" s="110">
        <f t="shared" si="33"/>
        <v>-1279205.032707144</v>
      </c>
      <c r="R134" s="110">
        <f t="shared" si="33"/>
        <v>-1278879.0583087986</v>
      </c>
      <c r="S134" s="110">
        <f t="shared" si="33"/>
        <v>-1278516.8645328593</v>
      </c>
      <c r="T134" s="110">
        <f t="shared" si="33"/>
        <v>-1279087.3197299638</v>
      </c>
      <c r="U134" s="110">
        <f t="shared" si="33"/>
        <v>-1279128.066529757</v>
      </c>
      <c r="V134" s="110">
        <f t="shared" si="33"/>
        <v>-1279082.7923077645</v>
      </c>
      <c r="W134" s="110">
        <f t="shared" si="33"/>
        <v>-1279082.7923077645</v>
      </c>
      <c r="X134" s="110">
        <f t="shared" si="33"/>
        <v>-1279037.5180857722</v>
      </c>
      <c r="Y134" s="110">
        <f t="shared" si="33"/>
        <v>-1278856.4211978025</v>
      </c>
      <c r="Z134" s="110">
        <f t="shared" si="33"/>
        <v>-1278448.9531998707</v>
      </c>
      <c r="AA134" s="110">
        <f t="shared" si="33"/>
        <v>-1278630.0500878403</v>
      </c>
      <c r="AB134" s="110">
        <f t="shared" si="33"/>
        <v>-1278915.2776863927</v>
      </c>
      <c r="AC134" s="110">
        <f t="shared" si="33"/>
        <v>-1278860.9486200018</v>
      </c>
      <c r="AD134" s="110">
        <f t="shared" si="33"/>
        <v>-1278498.7548440623</v>
      </c>
      <c r="AE134" s="110">
        <f t="shared" si="33"/>
        <v>-1279177.8681739487</v>
      </c>
      <c r="AF134" s="110">
        <f t="shared" si="33"/>
        <v>-1278906.2228419941</v>
      </c>
      <c r="AG134" s="110">
        <f t="shared" si="33"/>
        <v>-322307.1863640667</v>
      </c>
      <c r="AH134" s="110">
        <f t="shared" si="33"/>
        <v>0</v>
      </c>
      <c r="AI134" s="110">
        <f t="shared" si="33"/>
        <v>0</v>
      </c>
      <c r="AJ134" s="110">
        <f t="shared" si="33"/>
        <v>0</v>
      </c>
      <c r="AK134" s="87"/>
    </row>
    <row r="135" spans="4:37" ht="12.75">
      <c r="D135" s="106"/>
      <c r="E135" s="97"/>
      <c r="F135" s="109" t="s">
        <v>125</v>
      </c>
      <c r="G135" s="57">
        <f aca="true" t="shared" si="34" ref="G135:AK135">G133+G134</f>
        <v>2113810</v>
      </c>
      <c r="H135" s="57">
        <f t="shared" si="34"/>
        <v>1197255.6584661065</v>
      </c>
      <c r="I135" s="57">
        <f t="shared" si="34"/>
        <v>1270753.0603622354</v>
      </c>
      <c r="J135" s="57">
        <f t="shared" si="34"/>
        <v>1347474.5070522975</v>
      </c>
      <c r="K135" s="57">
        <f t="shared" si="34"/>
        <v>1426581.3544537476</v>
      </c>
      <c r="L135" s="57">
        <f t="shared" si="34"/>
        <v>1507282.2379167515</v>
      </c>
      <c r="M135" s="57">
        <f t="shared" si="34"/>
        <v>1591549.585700054</v>
      </c>
      <c r="N135" s="57">
        <f t="shared" si="34"/>
        <v>1677645.4671870724</v>
      </c>
      <c r="O135" s="57">
        <f t="shared" si="34"/>
        <v>1765735.6602328</v>
      </c>
      <c r="P135" s="57">
        <f t="shared" si="34"/>
        <v>1856893.6840144082</v>
      </c>
      <c r="Q135" s="57">
        <f t="shared" si="34"/>
        <v>1950850.737904694</v>
      </c>
      <c r="R135" s="57">
        <f t="shared" si="34"/>
        <v>2048078.3854213946</v>
      </c>
      <c r="S135" s="57">
        <f t="shared" si="34"/>
        <v>2148249.30250924</v>
      </c>
      <c r="T135" s="57">
        <f t="shared" si="34"/>
        <v>2250481.8323233984</v>
      </c>
      <c r="U135" s="57">
        <f t="shared" si="34"/>
        <v>2356328.160085206</v>
      </c>
      <c r="V135" s="57">
        <f t="shared" si="34"/>
        <v>2465437.1211056476</v>
      </c>
      <c r="W135" s="57">
        <f t="shared" si="34"/>
        <v>2577772.718508051</v>
      </c>
      <c r="X135" s="57">
        <f t="shared" si="34"/>
        <v>2693523.6580545176</v>
      </c>
      <c r="Y135" s="57">
        <f t="shared" si="34"/>
        <v>2812881.590226696</v>
      </c>
      <c r="Z135" s="57">
        <f t="shared" si="34"/>
        <v>2936041.1985673625</v>
      </c>
      <c r="AA135" s="57">
        <f t="shared" si="34"/>
        <v>3062294.8062324105</v>
      </c>
      <c r="AB135" s="57">
        <f t="shared" si="34"/>
        <v>3192237.324323465</v>
      </c>
      <c r="AC135" s="57">
        <f t="shared" si="34"/>
        <v>3326426.2314501517</v>
      </c>
      <c r="AD135" s="57">
        <f t="shared" si="34"/>
        <v>3464947.0406281957</v>
      </c>
      <c r="AE135" s="57">
        <f t="shared" si="34"/>
        <v>3606571.3011624776</v>
      </c>
      <c r="AF135" s="57">
        <f t="shared" si="34"/>
        <v>3753415.4215745255</v>
      </c>
      <c r="AG135" s="57">
        <f t="shared" si="34"/>
        <v>4860984.107384948</v>
      </c>
      <c r="AH135" s="57">
        <f t="shared" si="34"/>
        <v>5338790.032561486</v>
      </c>
      <c r="AI135" s="57">
        <f t="shared" si="34"/>
        <v>5498953.7335383305</v>
      </c>
      <c r="AJ135" s="57">
        <f t="shared" si="34"/>
        <v>5663922.345544481</v>
      </c>
      <c r="AK135" s="148">
        <f t="shared" si="34"/>
        <v>0</v>
      </c>
    </row>
    <row r="136" spans="4:37" ht="12.75">
      <c r="D136" s="106"/>
      <c r="E136" s="97"/>
      <c r="F136" s="109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15"/>
    </row>
    <row r="137" spans="4:37" ht="12.75">
      <c r="D137" s="106"/>
      <c r="E137" s="97"/>
      <c r="F137" s="109" t="s">
        <v>126</v>
      </c>
      <c r="G137" s="110">
        <f aca="true" t="shared" si="35" ref="G137:AK137">G214</f>
        <v>570403.494</v>
      </c>
      <c r="H137" s="110">
        <f t="shared" si="35"/>
        <v>587515.59882</v>
      </c>
      <c r="I137" s="110">
        <f t="shared" si="35"/>
        <v>605141.0667845999</v>
      </c>
      <c r="J137" s="110">
        <f t="shared" si="35"/>
        <v>623295.298788138</v>
      </c>
      <c r="K137" s="110">
        <f t="shared" si="35"/>
        <v>641994.1577517821</v>
      </c>
      <c r="L137" s="110">
        <f t="shared" si="35"/>
        <v>661253.9824843355</v>
      </c>
      <c r="M137" s="110">
        <f t="shared" si="35"/>
        <v>681091.6019588656</v>
      </c>
      <c r="N137" s="110">
        <f t="shared" si="35"/>
        <v>701524.3500176315</v>
      </c>
      <c r="O137" s="110">
        <f t="shared" si="35"/>
        <v>722570.0805181606</v>
      </c>
      <c r="P137" s="110">
        <f t="shared" si="35"/>
        <v>744247.1829337053</v>
      </c>
      <c r="Q137" s="110">
        <f t="shared" si="35"/>
        <v>766574.5984217164</v>
      </c>
      <c r="R137" s="110">
        <f t="shared" si="35"/>
        <v>789571.8363743679</v>
      </c>
      <c r="S137" s="110">
        <f t="shared" si="35"/>
        <v>813258.991465599</v>
      </c>
      <c r="T137" s="110">
        <f t="shared" si="35"/>
        <v>837656.7612095668</v>
      </c>
      <c r="U137" s="110">
        <f t="shared" si="35"/>
        <v>862786.4640458538</v>
      </c>
      <c r="V137" s="110">
        <f t="shared" si="35"/>
        <v>888670.0579672295</v>
      </c>
      <c r="W137" s="110">
        <f t="shared" si="35"/>
        <v>915330.1597062463</v>
      </c>
      <c r="X137" s="110">
        <f t="shared" si="35"/>
        <v>942790.0644974337</v>
      </c>
      <c r="Y137" s="110">
        <f t="shared" si="35"/>
        <v>971073.7664323566</v>
      </c>
      <c r="Z137" s="110">
        <f t="shared" si="35"/>
        <v>1000205.9794253274</v>
      </c>
      <c r="AA137" s="110">
        <f t="shared" si="35"/>
        <v>1030212.1588080872</v>
      </c>
      <c r="AB137" s="110">
        <f t="shared" si="35"/>
        <v>1061118.5235723297</v>
      </c>
      <c r="AC137" s="110">
        <f t="shared" si="35"/>
        <v>1092952.0792794996</v>
      </c>
      <c r="AD137" s="110">
        <f t="shared" si="35"/>
        <v>1125740.6416578847</v>
      </c>
      <c r="AE137" s="110">
        <f t="shared" si="35"/>
        <v>1159512.8609076212</v>
      </c>
      <c r="AF137" s="110">
        <f t="shared" si="35"/>
        <v>1194298.2467348499</v>
      </c>
      <c r="AG137" s="110">
        <f t="shared" si="35"/>
        <v>1230127.1941368952</v>
      </c>
      <c r="AH137" s="110">
        <f t="shared" si="35"/>
        <v>1267031.009961002</v>
      </c>
      <c r="AI137" s="110">
        <f t="shared" si="35"/>
        <v>1305041.9402598324</v>
      </c>
      <c r="AJ137" s="110">
        <f t="shared" si="35"/>
        <v>1344193.198467627</v>
      </c>
      <c r="AK137" s="29">
        <f t="shared" si="35"/>
        <v>0</v>
      </c>
    </row>
    <row r="138" spans="4:37" ht="12.75">
      <c r="D138" s="106"/>
      <c r="E138" s="97"/>
      <c r="F138" s="109" t="s">
        <v>127</v>
      </c>
      <c r="G138" s="110">
        <f aca="true" t="shared" si="36" ref="G138:AK138">G215</f>
        <v>475336.245</v>
      </c>
      <c r="H138" s="110">
        <f t="shared" si="36"/>
        <v>489596.33235</v>
      </c>
      <c r="I138" s="110">
        <f t="shared" si="36"/>
        <v>504284.22232049995</v>
      </c>
      <c r="J138" s="110">
        <f t="shared" si="36"/>
        <v>519412.74899011495</v>
      </c>
      <c r="K138" s="110">
        <f t="shared" si="36"/>
        <v>534995.1314598185</v>
      </c>
      <c r="L138" s="110">
        <f t="shared" si="36"/>
        <v>551044.985403613</v>
      </c>
      <c r="M138" s="110">
        <f t="shared" si="36"/>
        <v>567576.3349657214</v>
      </c>
      <c r="N138" s="110">
        <f t="shared" si="36"/>
        <v>584603.625014693</v>
      </c>
      <c r="O138" s="110">
        <f t="shared" si="36"/>
        <v>602141.7337651338</v>
      </c>
      <c r="P138" s="110">
        <f t="shared" si="36"/>
        <v>620205.9857780878</v>
      </c>
      <c r="Q138" s="110">
        <f t="shared" si="36"/>
        <v>638812.1653514303</v>
      </c>
      <c r="R138" s="110">
        <f t="shared" si="36"/>
        <v>657976.5303119733</v>
      </c>
      <c r="S138" s="110">
        <f t="shared" si="36"/>
        <v>677715.8262213325</v>
      </c>
      <c r="T138" s="110">
        <f t="shared" si="36"/>
        <v>698047.3010079723</v>
      </c>
      <c r="U138" s="110">
        <f t="shared" si="36"/>
        <v>718988.7200382116</v>
      </c>
      <c r="V138" s="110">
        <f t="shared" si="36"/>
        <v>740558.3816393579</v>
      </c>
      <c r="W138" s="110">
        <f t="shared" si="36"/>
        <v>762775.1330885387</v>
      </c>
      <c r="X138" s="110">
        <f t="shared" si="36"/>
        <v>785658.3870811948</v>
      </c>
      <c r="Y138" s="110">
        <f t="shared" si="36"/>
        <v>809228.1386936305</v>
      </c>
      <c r="Z138" s="110">
        <f t="shared" si="36"/>
        <v>833504.9828544395</v>
      </c>
      <c r="AA138" s="110">
        <f t="shared" si="36"/>
        <v>858510.1323400728</v>
      </c>
      <c r="AB138" s="110">
        <f t="shared" si="36"/>
        <v>884265.4363102748</v>
      </c>
      <c r="AC138" s="110">
        <f t="shared" si="36"/>
        <v>910793.399399583</v>
      </c>
      <c r="AD138" s="110">
        <f t="shared" si="36"/>
        <v>938117.2013815707</v>
      </c>
      <c r="AE138" s="110">
        <f t="shared" si="36"/>
        <v>966260.7174230176</v>
      </c>
      <c r="AF138" s="110">
        <f t="shared" si="36"/>
        <v>995248.5389457082</v>
      </c>
      <c r="AG138" s="110">
        <f t="shared" si="36"/>
        <v>1025105.9951140793</v>
      </c>
      <c r="AH138" s="110">
        <f t="shared" si="36"/>
        <v>1055859.1749675018</v>
      </c>
      <c r="AI138" s="110">
        <f t="shared" si="36"/>
        <v>1087534.9502165269</v>
      </c>
      <c r="AJ138" s="110">
        <f t="shared" si="36"/>
        <v>1120160.9987230224</v>
      </c>
      <c r="AK138" s="29">
        <f t="shared" si="36"/>
        <v>0</v>
      </c>
    </row>
    <row r="139" spans="4:37" ht="12.75">
      <c r="D139" s="106"/>
      <c r="E139" s="97"/>
      <c r="F139" s="109" t="s">
        <v>128</v>
      </c>
      <c r="G139" s="57">
        <f aca="true" t="shared" si="37" ref="G139:AK139">G137+G138</f>
        <v>1045739.739</v>
      </c>
      <c r="H139" s="57">
        <f t="shared" si="37"/>
        <v>1077111.93117</v>
      </c>
      <c r="I139" s="57">
        <f t="shared" si="37"/>
        <v>1109425.2891050999</v>
      </c>
      <c r="J139" s="57">
        <f t="shared" si="37"/>
        <v>1142708.047778253</v>
      </c>
      <c r="K139" s="57">
        <f t="shared" si="37"/>
        <v>1176989.2892116006</v>
      </c>
      <c r="L139" s="57">
        <f t="shared" si="37"/>
        <v>1212298.9678879485</v>
      </c>
      <c r="M139" s="57">
        <f t="shared" si="37"/>
        <v>1248667.936924587</v>
      </c>
      <c r="N139" s="57">
        <f t="shared" si="37"/>
        <v>1286127.9750323244</v>
      </c>
      <c r="O139" s="57">
        <f t="shared" si="37"/>
        <v>1324711.8142832944</v>
      </c>
      <c r="P139" s="57">
        <f t="shared" si="37"/>
        <v>1364453.1687117931</v>
      </c>
      <c r="Q139" s="57">
        <f t="shared" si="37"/>
        <v>1405386.7637731466</v>
      </c>
      <c r="R139" s="57">
        <f t="shared" si="37"/>
        <v>1447548.3666863414</v>
      </c>
      <c r="S139" s="57">
        <f t="shared" si="37"/>
        <v>1490974.8176869317</v>
      </c>
      <c r="T139" s="57">
        <f t="shared" si="37"/>
        <v>1535704.0622175392</v>
      </c>
      <c r="U139" s="57">
        <f t="shared" si="37"/>
        <v>1581775.1840840653</v>
      </c>
      <c r="V139" s="57">
        <f t="shared" si="37"/>
        <v>1629228.4396065874</v>
      </c>
      <c r="W139" s="57">
        <f t="shared" si="37"/>
        <v>1678105.292794785</v>
      </c>
      <c r="X139" s="57">
        <f t="shared" si="37"/>
        <v>1728448.4515786285</v>
      </c>
      <c r="Y139" s="57">
        <f t="shared" si="37"/>
        <v>1780301.905125987</v>
      </c>
      <c r="Z139" s="57">
        <f t="shared" si="37"/>
        <v>1833710.9622797668</v>
      </c>
      <c r="AA139" s="57">
        <f t="shared" si="37"/>
        <v>1888722.2911481601</v>
      </c>
      <c r="AB139" s="57">
        <f t="shared" si="37"/>
        <v>1945383.9598826044</v>
      </c>
      <c r="AC139" s="57">
        <f t="shared" si="37"/>
        <v>2003745.4786790826</v>
      </c>
      <c r="AD139" s="57">
        <f t="shared" si="37"/>
        <v>2063857.8430394554</v>
      </c>
      <c r="AE139" s="57">
        <f t="shared" si="37"/>
        <v>2125773.578330639</v>
      </c>
      <c r="AF139" s="57">
        <f t="shared" si="37"/>
        <v>2189546.785680558</v>
      </c>
      <c r="AG139" s="57">
        <f t="shared" si="37"/>
        <v>2255233.1892509745</v>
      </c>
      <c r="AH139" s="57">
        <f t="shared" si="37"/>
        <v>2322890.184928504</v>
      </c>
      <c r="AI139" s="57">
        <f t="shared" si="37"/>
        <v>2392576.890476359</v>
      </c>
      <c r="AJ139" s="57">
        <f t="shared" si="37"/>
        <v>2464354.1971906493</v>
      </c>
      <c r="AK139" s="148">
        <f t="shared" si="37"/>
        <v>0</v>
      </c>
    </row>
    <row r="140" spans="4:37" ht="12.75">
      <c r="D140" s="106"/>
      <c r="E140" s="97"/>
      <c r="F140" s="1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15"/>
    </row>
    <row r="141" spans="4:37" ht="12.75">
      <c r="D141" s="106"/>
      <c r="E141" s="97"/>
      <c r="F141" s="109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15"/>
    </row>
    <row r="142" spans="4:37" ht="13.5" thickBot="1">
      <c r="D142" s="133"/>
      <c r="E142" s="135"/>
      <c r="F142" s="149" t="s">
        <v>129</v>
      </c>
      <c r="G142" s="150">
        <f aca="true" t="shared" si="38" ref="G142:AK142">G135-G139</f>
        <v>1068070.261</v>
      </c>
      <c r="H142" s="150">
        <f t="shared" si="38"/>
        <v>120143.72729610652</v>
      </c>
      <c r="I142" s="150">
        <f t="shared" si="38"/>
        <v>161327.77125713555</v>
      </c>
      <c r="J142" s="150">
        <f t="shared" si="38"/>
        <v>204766.4592740445</v>
      </c>
      <c r="K142" s="150">
        <f t="shared" si="38"/>
        <v>249592.06524214707</v>
      </c>
      <c r="L142" s="150">
        <f t="shared" si="38"/>
        <v>294983.27002880303</v>
      </c>
      <c r="M142" s="150">
        <f t="shared" si="38"/>
        <v>342881.64877546695</v>
      </c>
      <c r="N142" s="150">
        <f t="shared" si="38"/>
        <v>391517.49215474795</v>
      </c>
      <c r="O142" s="150">
        <f t="shared" si="38"/>
        <v>441023.8459495057</v>
      </c>
      <c r="P142" s="150">
        <f t="shared" si="38"/>
        <v>492440.515302615</v>
      </c>
      <c r="Q142" s="150">
        <f t="shared" si="38"/>
        <v>545463.9741315474</v>
      </c>
      <c r="R142" s="150">
        <f t="shared" si="38"/>
        <v>600530.0187350533</v>
      </c>
      <c r="S142" s="150">
        <f t="shared" si="38"/>
        <v>657274.4848223082</v>
      </c>
      <c r="T142" s="150">
        <f t="shared" si="38"/>
        <v>714777.7701058593</v>
      </c>
      <c r="U142" s="150">
        <f t="shared" si="38"/>
        <v>774552.9760011407</v>
      </c>
      <c r="V142" s="150">
        <f t="shared" si="38"/>
        <v>836208.6814990602</v>
      </c>
      <c r="W142" s="150">
        <f t="shared" si="38"/>
        <v>899667.4257132658</v>
      </c>
      <c r="X142" s="150">
        <f t="shared" si="38"/>
        <v>965075.2064758891</v>
      </c>
      <c r="Y142" s="150">
        <f t="shared" si="38"/>
        <v>1032579.6851007089</v>
      </c>
      <c r="Z142" s="150">
        <f t="shared" si="38"/>
        <v>1102330.2362875957</v>
      </c>
      <c r="AA142" s="150">
        <f t="shared" si="38"/>
        <v>1173572.5150842504</v>
      </c>
      <c r="AB142" s="150">
        <f t="shared" si="38"/>
        <v>1246853.3644408607</v>
      </c>
      <c r="AC142" s="150">
        <f t="shared" si="38"/>
        <v>1322680.752771069</v>
      </c>
      <c r="AD142" s="150">
        <f t="shared" si="38"/>
        <v>1401089.1975887404</v>
      </c>
      <c r="AE142" s="150">
        <f t="shared" si="38"/>
        <v>1480797.7228318388</v>
      </c>
      <c r="AF142" s="150">
        <f t="shared" si="38"/>
        <v>1563868.6358939675</v>
      </c>
      <c r="AG142" s="150">
        <f t="shared" si="38"/>
        <v>2605750.9181339736</v>
      </c>
      <c r="AH142" s="150">
        <f t="shared" si="38"/>
        <v>3015899.847632982</v>
      </c>
      <c r="AI142" s="150">
        <f t="shared" si="38"/>
        <v>3106376.8430619715</v>
      </c>
      <c r="AJ142" s="150">
        <f t="shared" si="38"/>
        <v>3199568.1483538314</v>
      </c>
      <c r="AK142" s="151">
        <f t="shared" si="38"/>
        <v>0</v>
      </c>
    </row>
    <row r="143" spans="5:12" ht="12.75">
      <c r="E143" s="1"/>
      <c r="F143" s="21"/>
      <c r="G143" s="2"/>
      <c r="H143" s="2"/>
      <c r="I143" s="2"/>
      <c r="J143" s="2"/>
      <c r="K143" s="2"/>
      <c r="L143" s="2"/>
    </row>
    <row r="144" spans="5:12" ht="12.75">
      <c r="E144" s="1"/>
      <c r="F144" s="21"/>
      <c r="G144" s="2"/>
      <c r="H144" s="2"/>
      <c r="I144" s="2"/>
      <c r="J144" s="2"/>
      <c r="K144" s="2"/>
      <c r="L144" s="2"/>
    </row>
    <row r="145" spans="5:12" ht="12.75">
      <c r="E145" s="1"/>
      <c r="F145" s="21"/>
      <c r="G145" s="2"/>
      <c r="H145" s="2"/>
      <c r="I145" s="2"/>
      <c r="J145" s="2"/>
      <c r="K145" s="2"/>
      <c r="L145" s="2"/>
    </row>
    <row r="146" spans="5:12" ht="12.75">
      <c r="E146" s="1"/>
      <c r="F146" s="21"/>
      <c r="G146" s="30"/>
      <c r="H146" s="2"/>
      <c r="I146" s="2"/>
      <c r="J146" s="2"/>
      <c r="K146" s="2"/>
      <c r="L146" s="2"/>
    </row>
    <row r="147" spans="5:12" ht="12.75">
      <c r="E147" s="1"/>
      <c r="F147" s="21"/>
      <c r="G147" s="2"/>
      <c r="H147" s="2"/>
      <c r="I147" s="2"/>
      <c r="J147" s="2"/>
      <c r="K147" s="2"/>
      <c r="L147" s="2"/>
    </row>
    <row r="148" spans="5:12" ht="15.75">
      <c r="E148" s="1"/>
      <c r="F148" s="152" t="s">
        <v>130</v>
      </c>
      <c r="G148" s="2"/>
      <c r="H148" s="2"/>
      <c r="I148" s="2"/>
      <c r="J148" s="2"/>
      <c r="K148" s="2"/>
      <c r="L148" s="2"/>
    </row>
    <row r="149" spans="5:12" ht="12.75">
      <c r="E149" s="1"/>
      <c r="F149" s="21"/>
      <c r="G149" s="30">
        <f>G155+G156</f>
        <v>0</v>
      </c>
      <c r="H149" s="2"/>
      <c r="I149" s="2"/>
      <c r="J149" s="2"/>
      <c r="K149" s="2"/>
      <c r="L149" s="2"/>
    </row>
    <row r="150" spans="5:37" ht="12.75">
      <c r="E150" s="1"/>
      <c r="F150" s="153" t="s">
        <v>131</v>
      </c>
      <c r="G150" s="2"/>
      <c r="H150" s="2"/>
      <c r="I150" s="2"/>
      <c r="J150" s="2"/>
      <c r="K150" s="2"/>
      <c r="L150" s="2"/>
      <c r="AK150" s="5" t="s">
        <v>132</v>
      </c>
    </row>
    <row r="151" spans="5:36" ht="12.75">
      <c r="E151" s="19">
        <f>E155+E156</f>
        <v>70000000</v>
      </c>
      <c r="F151" s="2"/>
      <c r="G151" s="2">
        <v>0</v>
      </c>
      <c r="H151" s="25">
        <f aca="true" t="shared" si="39" ref="H151:AJ151">G151+1</f>
        <v>1</v>
      </c>
      <c r="I151" s="25">
        <f t="shared" si="39"/>
        <v>2</v>
      </c>
      <c r="J151" s="25">
        <f t="shared" si="39"/>
        <v>3</v>
      </c>
      <c r="K151" s="25">
        <f t="shared" si="39"/>
        <v>4</v>
      </c>
      <c r="L151" s="25">
        <f t="shared" si="39"/>
        <v>5</v>
      </c>
      <c r="M151" s="154">
        <f t="shared" si="39"/>
        <v>6</v>
      </c>
      <c r="N151" s="154">
        <f t="shared" si="39"/>
        <v>7</v>
      </c>
      <c r="O151" s="154">
        <f t="shared" si="39"/>
        <v>8</v>
      </c>
      <c r="P151" s="154">
        <f t="shared" si="39"/>
        <v>9</v>
      </c>
      <c r="Q151" s="154">
        <f t="shared" si="39"/>
        <v>10</v>
      </c>
      <c r="R151" s="154">
        <f t="shared" si="39"/>
        <v>11</v>
      </c>
      <c r="S151" s="154">
        <f t="shared" si="39"/>
        <v>12</v>
      </c>
      <c r="T151" s="154">
        <f t="shared" si="39"/>
        <v>13</v>
      </c>
      <c r="U151" s="154">
        <f t="shared" si="39"/>
        <v>14</v>
      </c>
      <c r="V151" s="154">
        <f t="shared" si="39"/>
        <v>15</v>
      </c>
      <c r="W151" s="154">
        <f t="shared" si="39"/>
        <v>16</v>
      </c>
      <c r="X151" s="154">
        <f t="shared" si="39"/>
        <v>17</v>
      </c>
      <c r="Y151" s="154">
        <f t="shared" si="39"/>
        <v>18</v>
      </c>
      <c r="Z151" s="154">
        <f t="shared" si="39"/>
        <v>19</v>
      </c>
      <c r="AA151" s="154">
        <f t="shared" si="39"/>
        <v>20</v>
      </c>
      <c r="AB151" s="154">
        <f t="shared" si="39"/>
        <v>21</v>
      </c>
      <c r="AC151" s="154">
        <f t="shared" si="39"/>
        <v>22</v>
      </c>
      <c r="AD151" s="154">
        <f t="shared" si="39"/>
        <v>23</v>
      </c>
      <c r="AE151" s="154">
        <f t="shared" si="39"/>
        <v>24</v>
      </c>
      <c r="AF151" s="154">
        <f t="shared" si="39"/>
        <v>25</v>
      </c>
      <c r="AG151" s="154">
        <f t="shared" si="39"/>
        <v>26</v>
      </c>
      <c r="AH151" s="154">
        <f t="shared" si="39"/>
        <v>27</v>
      </c>
      <c r="AI151" s="154">
        <f t="shared" si="39"/>
        <v>28</v>
      </c>
      <c r="AJ151" s="154">
        <f t="shared" si="39"/>
        <v>29</v>
      </c>
    </row>
    <row r="152" spans="5:36" ht="12.75">
      <c r="E152" s="1"/>
      <c r="F152" s="2" t="s">
        <v>45</v>
      </c>
      <c r="G152" s="2">
        <v>2007</v>
      </c>
      <c r="H152" s="2">
        <f aca="true" t="shared" si="40" ref="H152:AJ152">G152+1</f>
        <v>2008</v>
      </c>
      <c r="I152" s="2">
        <f t="shared" si="40"/>
        <v>2009</v>
      </c>
      <c r="J152" s="2">
        <f t="shared" si="40"/>
        <v>2010</v>
      </c>
      <c r="K152" s="2">
        <f t="shared" si="40"/>
        <v>2011</v>
      </c>
      <c r="L152" s="2">
        <f t="shared" si="40"/>
        <v>2012</v>
      </c>
      <c r="M152" s="5">
        <f t="shared" si="40"/>
        <v>2013</v>
      </c>
      <c r="N152" s="5">
        <f t="shared" si="40"/>
        <v>2014</v>
      </c>
      <c r="O152" s="5">
        <f t="shared" si="40"/>
        <v>2015</v>
      </c>
      <c r="P152" s="5">
        <f t="shared" si="40"/>
        <v>2016</v>
      </c>
      <c r="Q152" s="5">
        <f t="shared" si="40"/>
        <v>2017</v>
      </c>
      <c r="R152" s="5">
        <f t="shared" si="40"/>
        <v>2018</v>
      </c>
      <c r="S152" s="5">
        <f t="shared" si="40"/>
        <v>2019</v>
      </c>
      <c r="T152" s="5">
        <f t="shared" si="40"/>
        <v>2020</v>
      </c>
      <c r="U152" s="5">
        <f t="shared" si="40"/>
        <v>2021</v>
      </c>
      <c r="V152" s="5">
        <f t="shared" si="40"/>
        <v>2022</v>
      </c>
      <c r="W152" s="5">
        <f t="shared" si="40"/>
        <v>2023</v>
      </c>
      <c r="X152" s="5">
        <f t="shared" si="40"/>
        <v>2024</v>
      </c>
      <c r="Y152" s="5">
        <f t="shared" si="40"/>
        <v>2025</v>
      </c>
      <c r="Z152" s="5">
        <f t="shared" si="40"/>
        <v>2026</v>
      </c>
      <c r="AA152" s="5">
        <f t="shared" si="40"/>
        <v>2027</v>
      </c>
      <c r="AB152" s="5">
        <f t="shared" si="40"/>
        <v>2028</v>
      </c>
      <c r="AC152" s="5">
        <f t="shared" si="40"/>
        <v>2029</v>
      </c>
      <c r="AD152" s="5">
        <f t="shared" si="40"/>
        <v>2030</v>
      </c>
      <c r="AE152" s="5">
        <f t="shared" si="40"/>
        <v>2031</v>
      </c>
      <c r="AF152" s="5">
        <f t="shared" si="40"/>
        <v>2032</v>
      </c>
      <c r="AG152" s="5">
        <f t="shared" si="40"/>
        <v>2033</v>
      </c>
      <c r="AH152" s="5">
        <f t="shared" si="40"/>
        <v>2034</v>
      </c>
      <c r="AI152" s="5">
        <f t="shared" si="40"/>
        <v>2035</v>
      </c>
      <c r="AJ152" s="5">
        <f t="shared" si="40"/>
        <v>2036</v>
      </c>
    </row>
    <row r="153" spans="5:12" ht="12.75">
      <c r="E153" s="1"/>
      <c r="F153" s="153" t="s">
        <v>133</v>
      </c>
      <c r="G153" s="2"/>
      <c r="H153" s="2"/>
      <c r="I153" s="2"/>
      <c r="J153" s="2"/>
      <c r="K153" s="2"/>
      <c r="L153" s="2"/>
    </row>
    <row r="154" spans="5:12" ht="12.75">
      <c r="E154" s="1"/>
      <c r="F154" s="2"/>
      <c r="G154" s="2"/>
      <c r="H154" s="2"/>
      <c r="I154" s="2"/>
      <c r="J154" s="2"/>
      <c r="K154" s="2"/>
      <c r="L154" s="2"/>
    </row>
    <row r="155" spans="2:37" ht="12.75">
      <c r="B155" s="155">
        <f>SUM(G155:AJ155)</f>
        <v>178319000</v>
      </c>
      <c r="C155" s="155"/>
      <c r="D155" s="155"/>
      <c r="E155" s="156">
        <f aca="true" t="shared" si="41" ref="E155:E160">ROUND(NPV($G$31,G155:AH155),-5)</f>
        <v>70000000</v>
      </c>
      <c r="F155" s="2" t="s">
        <v>134</v>
      </c>
      <c r="G155" s="157">
        <v>0</v>
      </c>
      <c r="H155" s="157">
        <v>7058725</v>
      </c>
      <c r="I155" s="157">
        <v>7062975</v>
      </c>
      <c r="J155" s="157">
        <v>7061725</v>
      </c>
      <c r="K155" s="157">
        <v>7059975</v>
      </c>
      <c r="L155" s="157">
        <v>7062475</v>
      </c>
      <c r="M155" s="158">
        <v>7058725</v>
      </c>
      <c r="N155" s="158">
        <v>7058725</v>
      </c>
      <c r="O155" s="158">
        <v>7061975</v>
      </c>
      <c r="P155" s="158">
        <v>7062975</v>
      </c>
      <c r="Q155" s="158">
        <v>7063650</v>
      </c>
      <c r="R155" s="158">
        <v>7061850</v>
      </c>
      <c r="S155" s="158">
        <v>7059850</v>
      </c>
      <c r="T155" s="158">
        <v>7063000</v>
      </c>
      <c r="U155" s="158">
        <v>7063225</v>
      </c>
      <c r="V155" s="158">
        <v>7062975</v>
      </c>
      <c r="W155" s="158">
        <v>7062975</v>
      </c>
      <c r="X155" s="158">
        <v>7062725</v>
      </c>
      <c r="Y155" s="158">
        <v>7061725</v>
      </c>
      <c r="Z155" s="158">
        <v>7059475</v>
      </c>
      <c r="AA155" s="158">
        <v>7060475</v>
      </c>
      <c r="AB155" s="158">
        <v>7062050</v>
      </c>
      <c r="AC155" s="158">
        <v>7061750</v>
      </c>
      <c r="AD155" s="158">
        <v>7059750</v>
      </c>
      <c r="AE155" s="158">
        <v>7063500</v>
      </c>
      <c r="AF155" s="158">
        <v>7062000</v>
      </c>
      <c r="AG155" s="158">
        <v>1779750</v>
      </c>
      <c r="AH155" s="154">
        <v>0</v>
      </c>
      <c r="AI155" s="154">
        <v>0</v>
      </c>
      <c r="AJ155" s="154">
        <v>0</v>
      </c>
      <c r="AK155" s="159"/>
    </row>
    <row r="156" spans="2:37" ht="12.75">
      <c r="B156" s="6">
        <v>4092305.69</v>
      </c>
      <c r="E156" s="156">
        <f t="shared" si="41"/>
        <v>0</v>
      </c>
      <c r="F156" s="160" t="s">
        <v>135</v>
      </c>
      <c r="G156" s="157">
        <v>0</v>
      </c>
      <c r="H156" s="157"/>
      <c r="I156" s="157"/>
      <c r="J156" s="157"/>
      <c r="K156" s="157"/>
      <c r="L156" s="157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4"/>
      <c r="AI156" s="154"/>
      <c r="AJ156" s="154"/>
      <c r="AK156" s="159"/>
    </row>
    <row r="157" spans="2:37" ht="12.75">
      <c r="B157" s="6">
        <v>4943725</v>
      </c>
      <c r="E157" s="156">
        <f t="shared" si="41"/>
        <v>700000</v>
      </c>
      <c r="F157" s="160" t="s">
        <v>136</v>
      </c>
      <c r="G157" s="157">
        <v>0</v>
      </c>
      <c r="H157" s="157">
        <v>70587.25</v>
      </c>
      <c r="I157" s="157">
        <v>70629.75</v>
      </c>
      <c r="J157" s="157">
        <v>70617.25</v>
      </c>
      <c r="K157" s="157">
        <v>70599.75</v>
      </c>
      <c r="L157" s="157">
        <v>70624.75</v>
      </c>
      <c r="M157" s="157">
        <v>70587.25</v>
      </c>
      <c r="N157" s="157">
        <v>70587.25</v>
      </c>
      <c r="O157" s="157">
        <v>70619.75</v>
      </c>
      <c r="P157" s="157">
        <v>70629.75</v>
      </c>
      <c r="Q157" s="157">
        <v>70636.5</v>
      </c>
      <c r="R157" s="157">
        <v>70618.5</v>
      </c>
      <c r="S157" s="157">
        <v>70598.5</v>
      </c>
      <c r="T157" s="157">
        <v>70630</v>
      </c>
      <c r="U157" s="157">
        <v>70632.25</v>
      </c>
      <c r="V157" s="157">
        <v>70629.75</v>
      </c>
      <c r="W157" s="157">
        <v>70629.75</v>
      </c>
      <c r="X157" s="157">
        <v>70627.25</v>
      </c>
      <c r="Y157" s="157">
        <v>70617.25</v>
      </c>
      <c r="Z157" s="157">
        <v>70594.75</v>
      </c>
      <c r="AA157" s="157">
        <v>70604.75</v>
      </c>
      <c r="AB157" s="157">
        <v>70620.5</v>
      </c>
      <c r="AC157" s="157">
        <v>70617.5</v>
      </c>
      <c r="AD157" s="157">
        <v>70597.5</v>
      </c>
      <c r="AE157" s="157">
        <v>70635</v>
      </c>
      <c r="AF157" s="157">
        <v>70620</v>
      </c>
      <c r="AG157" s="157">
        <v>17797.5</v>
      </c>
      <c r="AH157" s="25">
        <f>0.01*(AH155+AH156)</f>
        <v>0</v>
      </c>
      <c r="AI157" s="25">
        <f>0.01*(AI155+AI156)</f>
        <v>0</v>
      </c>
      <c r="AJ157" s="25">
        <f>0.01*(AJ155+AJ156)</f>
        <v>0</v>
      </c>
      <c r="AK157" s="159"/>
    </row>
    <row r="158" spans="2:36" ht="12.75">
      <c r="B158" s="6">
        <v>4943725</v>
      </c>
      <c r="E158" s="156">
        <f t="shared" si="41"/>
        <v>4400000</v>
      </c>
      <c r="F158" s="2" t="s">
        <v>137</v>
      </c>
      <c r="G158" s="161">
        <f>G25</f>
        <v>298465.4937033978</v>
      </c>
      <c r="H158" s="25">
        <f>G158*(1+'[1]Financing Proforma info'!$B$6)</f>
        <v>307419.45851449977</v>
      </c>
      <c r="I158" s="25">
        <f>H158*(1+'[1]Financing Proforma info'!$B$6)</f>
        <v>316642.0422699348</v>
      </c>
      <c r="J158" s="25">
        <f>I158*(1+'[1]Financing Proforma info'!$B$6)</f>
        <v>326141.3035380328</v>
      </c>
      <c r="K158" s="25">
        <f>J158*(1+'[1]Financing Proforma info'!$B$6)</f>
        <v>335925.5426441738</v>
      </c>
      <c r="L158" s="25">
        <f>K158*(1+'[1]Financing Proforma info'!$B$6)</f>
        <v>346003.308923499</v>
      </c>
      <c r="M158" s="154">
        <f>L158*(1+'[1]Financing Proforma info'!$B$6)</f>
        <v>356383.408191204</v>
      </c>
      <c r="N158" s="154">
        <f>M158*(1+'[1]Financing Proforma info'!$B$6)</f>
        <v>367074.91043694015</v>
      </c>
      <c r="O158" s="154">
        <f>N158*(1+'[1]Financing Proforma info'!$B$6)</f>
        <v>378087.1577500484</v>
      </c>
      <c r="P158" s="154">
        <f>O158*(1+'[1]Financing Proforma info'!$B$6)</f>
        <v>389429.77248254983</v>
      </c>
      <c r="Q158" s="154">
        <f>P158*(1+'[1]Financing Proforma info'!$B$6)</f>
        <v>401112.66565702634</v>
      </c>
      <c r="R158" s="154">
        <f>Q158*(1+'[1]Financing Proforma info'!$B$6)</f>
        <v>413146.0456267371</v>
      </c>
      <c r="S158" s="154">
        <f>R158*(1+'[1]Financing Proforma info'!$B$6)</f>
        <v>425540.4269955392</v>
      </c>
      <c r="T158" s="154">
        <f>S158*(1+'[1]Financing Proforma info'!$B$6)</f>
        <v>438306.6398054054</v>
      </c>
      <c r="U158" s="154">
        <f>T158*(1+'[1]Financing Proforma info'!$B$6)</f>
        <v>451455.83899956755</v>
      </c>
      <c r="V158" s="154">
        <f>U158*(1+'[1]Financing Proforma info'!$B$6)</f>
        <v>464999.5141695546</v>
      </c>
      <c r="W158" s="154">
        <f>V158*(1+'[1]Financing Proforma info'!$B$6)</f>
        <v>478949.4995946412</v>
      </c>
      <c r="X158" s="154">
        <f>W158*(1+'[1]Financing Proforma info'!$B$6)</f>
        <v>493317.98458248045</v>
      </c>
      <c r="Y158" s="154">
        <f>X158*(1+'[1]Financing Proforma info'!$B$6)</f>
        <v>508117.5241199549</v>
      </c>
      <c r="Z158" s="154">
        <f>Y158*(1+'[1]Financing Proforma info'!$B$6)</f>
        <v>523361.04984355357</v>
      </c>
      <c r="AA158" s="154">
        <f>Z158*(1+'[1]Financing Proforma info'!$B$6)</f>
        <v>539061.8813388601</v>
      </c>
      <c r="AB158" s="154">
        <f>AA158*(1+'[1]Financing Proforma info'!$B$6)</f>
        <v>555233.7377790259</v>
      </c>
      <c r="AC158" s="154">
        <f>AB158*(1+'[1]Financing Proforma info'!$B$6)</f>
        <v>571890.7499123967</v>
      </c>
      <c r="AD158" s="154">
        <f>AC158*(1+'[1]Financing Proforma info'!$B$6)</f>
        <v>589047.4724097686</v>
      </c>
      <c r="AE158" s="154">
        <f>AD158*(1+'[1]Financing Proforma info'!$B$6)</f>
        <v>606718.8965820617</v>
      </c>
      <c r="AF158" s="154">
        <f>AE158*(1+'[1]Financing Proforma info'!$B$6)</f>
        <v>624920.4634795235</v>
      </c>
      <c r="AG158" s="154">
        <f>AF158*(1+'[1]Financing Proforma info'!$B$6)</f>
        <v>643668.0773839093</v>
      </c>
      <c r="AH158" s="154">
        <f>AG158*(1+'[1]Financing Proforma info'!$B$6)</f>
        <v>662978.1197054265</v>
      </c>
      <c r="AI158" s="154">
        <f>AH158*(1+'[1]Financing Proforma info'!$B$6)</f>
        <v>682867.4632965893</v>
      </c>
      <c r="AJ158" s="154">
        <f>AI158*(1+'[1]Financing Proforma info'!$B$6)</f>
        <v>703353.487195487</v>
      </c>
    </row>
    <row r="159" spans="2:36" ht="12.75">
      <c r="B159" s="162">
        <f>SUM(B155:B158)</f>
        <v>192298755.69</v>
      </c>
      <c r="C159" s="162"/>
      <c r="D159" s="162"/>
      <c r="E159" s="156">
        <f t="shared" si="41"/>
        <v>0</v>
      </c>
      <c r="F159" s="2" t="s">
        <v>138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0</v>
      </c>
      <c r="AC159" s="25">
        <v>0</v>
      </c>
      <c r="AD159" s="25">
        <v>0</v>
      </c>
      <c r="AE159" s="25">
        <v>0</v>
      </c>
      <c r="AF159" s="25">
        <v>0</v>
      </c>
      <c r="AG159" s="25">
        <v>0</v>
      </c>
      <c r="AH159" s="25">
        <v>0</v>
      </c>
      <c r="AI159" s="25">
        <v>0</v>
      </c>
      <c r="AJ159" s="25">
        <v>0</v>
      </c>
    </row>
    <row r="160" spans="5:36" ht="12.75">
      <c r="E160" s="156">
        <f t="shared" si="41"/>
        <v>1100000</v>
      </c>
      <c r="F160" s="2" t="s">
        <v>32</v>
      </c>
      <c r="G160" s="157">
        <v>101836.91991624229</v>
      </c>
      <c r="H160" s="157">
        <v>101836.91991624229</v>
      </c>
      <c r="I160" s="157">
        <v>101836.91991624229</v>
      </c>
      <c r="J160" s="157">
        <v>101836.91991624229</v>
      </c>
      <c r="K160" s="157">
        <v>101836.91991624229</v>
      </c>
      <c r="L160" s="157">
        <v>101836.91991624229</v>
      </c>
      <c r="M160" s="158">
        <v>101836.91991624229</v>
      </c>
      <c r="N160" s="158">
        <v>101836.91991624229</v>
      </c>
      <c r="O160" s="158">
        <v>101836.91991624229</v>
      </c>
      <c r="P160" s="158">
        <v>101836.91991624229</v>
      </c>
      <c r="Q160" s="158">
        <v>101836.91991624229</v>
      </c>
      <c r="R160" s="158">
        <v>101836.91991624229</v>
      </c>
      <c r="S160" s="158">
        <v>101836.91991624229</v>
      </c>
      <c r="T160" s="158">
        <v>101836.91991624229</v>
      </c>
      <c r="U160" s="158">
        <v>101836.91991624229</v>
      </c>
      <c r="V160" s="158">
        <v>101836.91991624229</v>
      </c>
      <c r="W160" s="158">
        <v>101836.91991624229</v>
      </c>
      <c r="X160" s="158">
        <v>101836.91991624229</v>
      </c>
      <c r="Y160" s="158">
        <v>101836.91991624229</v>
      </c>
      <c r="Z160" s="158">
        <v>101836.91991624229</v>
      </c>
      <c r="AA160" s="158">
        <v>101836.91991624229</v>
      </c>
      <c r="AB160" s="158">
        <v>101836.91991624229</v>
      </c>
      <c r="AC160" s="158">
        <v>101836.91991624229</v>
      </c>
      <c r="AD160" s="158">
        <v>101836.91991624229</v>
      </c>
      <c r="AE160" s="158">
        <v>101836.91991624229</v>
      </c>
      <c r="AF160" s="158">
        <v>101836.91991624229</v>
      </c>
      <c r="AG160" s="154">
        <f>IF(AG$151&lt;=ROUNDUP($G$22,0),$G$26,0)</f>
        <v>0</v>
      </c>
      <c r="AH160" s="154">
        <f>IF(AH$151&lt;=ROUNDUP($G$22,0),$G$26,0)</f>
        <v>0</v>
      </c>
      <c r="AI160" s="154">
        <f>IF(AI$151&lt;=ROUNDUP($G$22,0),$G$26,0)</f>
        <v>0</v>
      </c>
      <c r="AJ160" s="154">
        <f>IF(AJ$151&lt;=ROUNDUP($G$22,0),$G$26,0)</f>
        <v>0</v>
      </c>
    </row>
    <row r="161" spans="5:12" ht="12.75">
      <c r="E161" s="1"/>
      <c r="F161" s="2"/>
      <c r="G161" s="2"/>
      <c r="H161" s="2"/>
      <c r="I161" s="2"/>
      <c r="J161" s="2"/>
      <c r="K161" s="2"/>
      <c r="L161" s="2"/>
    </row>
    <row r="162" spans="5:67" s="163" customFormat="1" ht="12.75">
      <c r="E162" s="156">
        <f>ROUND(NPV($G$31,G162:AH162),-5)</f>
        <v>76200000</v>
      </c>
      <c r="F162" s="153" t="s">
        <v>139</v>
      </c>
      <c r="G162" s="164">
        <f aca="true" t="shared" si="42" ref="G162:AJ162">SUM(G155:G161)</f>
        <v>400302.4136196401</v>
      </c>
      <c r="H162" s="164">
        <f t="shared" si="42"/>
        <v>7538568.628430742</v>
      </c>
      <c r="I162" s="164">
        <f t="shared" si="42"/>
        <v>7552083.712186177</v>
      </c>
      <c r="J162" s="164">
        <f t="shared" si="42"/>
        <v>7560320.473454275</v>
      </c>
      <c r="K162" s="164">
        <f t="shared" si="42"/>
        <v>7568337.212560416</v>
      </c>
      <c r="L162" s="164">
        <f t="shared" si="42"/>
        <v>7580939.978839741</v>
      </c>
      <c r="M162" s="165">
        <f t="shared" si="42"/>
        <v>7587532.578107446</v>
      </c>
      <c r="N162" s="165">
        <f t="shared" si="42"/>
        <v>7598224.080353183</v>
      </c>
      <c r="O162" s="165">
        <f t="shared" si="42"/>
        <v>7612518.827666291</v>
      </c>
      <c r="P162" s="165">
        <f t="shared" si="42"/>
        <v>7624871.442398792</v>
      </c>
      <c r="Q162" s="165">
        <f t="shared" si="42"/>
        <v>7637236.085573269</v>
      </c>
      <c r="R162" s="165">
        <f t="shared" si="42"/>
        <v>7647451.46554298</v>
      </c>
      <c r="S162" s="165">
        <f t="shared" si="42"/>
        <v>7657825.8469117815</v>
      </c>
      <c r="T162" s="165">
        <f t="shared" si="42"/>
        <v>7673773.559721648</v>
      </c>
      <c r="U162" s="165">
        <f t="shared" si="42"/>
        <v>7687150.00891581</v>
      </c>
      <c r="V162" s="165">
        <f t="shared" si="42"/>
        <v>7700441.184085797</v>
      </c>
      <c r="W162" s="165">
        <f t="shared" si="42"/>
        <v>7714391.169510883</v>
      </c>
      <c r="X162" s="165">
        <f t="shared" si="42"/>
        <v>7728507.154498722</v>
      </c>
      <c r="Y162" s="165">
        <f t="shared" si="42"/>
        <v>7742296.694036197</v>
      </c>
      <c r="Z162" s="165">
        <f t="shared" si="42"/>
        <v>7755267.719759796</v>
      </c>
      <c r="AA162" s="165">
        <f t="shared" si="42"/>
        <v>7771978.551255102</v>
      </c>
      <c r="AB162" s="165">
        <f t="shared" si="42"/>
        <v>7789741.157695268</v>
      </c>
      <c r="AC162" s="165">
        <f t="shared" si="42"/>
        <v>7806095.169828639</v>
      </c>
      <c r="AD162" s="165">
        <f t="shared" si="42"/>
        <v>7821231.892326011</v>
      </c>
      <c r="AE162" s="165">
        <f t="shared" si="42"/>
        <v>7842690.816498304</v>
      </c>
      <c r="AF162" s="165">
        <f t="shared" si="42"/>
        <v>7859377.383395766</v>
      </c>
      <c r="AG162" s="165">
        <f t="shared" si="42"/>
        <v>2441215.5773839094</v>
      </c>
      <c r="AH162" s="165">
        <f t="shared" si="42"/>
        <v>662978.1197054265</v>
      </c>
      <c r="AI162" s="165">
        <f t="shared" si="42"/>
        <v>682867.4632965893</v>
      </c>
      <c r="AJ162" s="165">
        <f t="shared" si="42"/>
        <v>703353.487195487</v>
      </c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  <c r="BI162" s="166"/>
      <c r="BJ162" s="166"/>
      <c r="BK162" s="166"/>
      <c r="BL162" s="166"/>
      <c r="BM162" s="166"/>
      <c r="BN162" s="166"/>
      <c r="BO162" s="166"/>
    </row>
    <row r="163" spans="5:12" ht="12.75">
      <c r="E163" s="1"/>
      <c r="F163" s="2"/>
      <c r="G163" s="2"/>
      <c r="H163" s="2"/>
      <c r="I163" s="2"/>
      <c r="J163" s="2"/>
      <c r="K163" s="2"/>
      <c r="L163" s="2"/>
    </row>
    <row r="164" spans="5:12" ht="12.75">
      <c r="E164" s="1"/>
      <c r="F164" s="2" t="s">
        <v>140</v>
      </c>
      <c r="G164" s="2"/>
      <c r="H164" s="2"/>
      <c r="I164" s="2"/>
      <c r="J164" s="2"/>
      <c r="K164" s="2"/>
      <c r="L164" s="2"/>
    </row>
    <row r="165" spans="1:36" ht="12.75">
      <c r="A165" s="6" t="s">
        <v>141</v>
      </c>
      <c r="B165" s="6">
        <v>8</v>
      </c>
      <c r="E165" s="167">
        <f aca="true" t="shared" si="43" ref="E165:E171">ROUND(NPV($G$31,G165:AH165),-5)</f>
        <v>78000000</v>
      </c>
      <c r="F165" s="2" t="s">
        <v>142</v>
      </c>
      <c r="G165" s="161">
        <f>'[1]Lease Space vacated and rents'!I38*B165/12</f>
        <v>3680482.6369833336</v>
      </c>
      <c r="H165" s="161">
        <f>'[1]Lease Space vacated and rents'!J38</f>
        <v>5643293.414139249</v>
      </c>
      <c r="I165" s="25">
        <f>'[1]Lease Space vacated and rents'!K38</f>
        <v>5795967.501763428</v>
      </c>
      <c r="J165" s="25">
        <f>'[1]Lease Space vacated and rents'!L38</f>
        <v>5952889.317720329</v>
      </c>
      <c r="K165" s="25">
        <f>'[1]Lease Space vacated and rents'!M38</f>
        <v>6114179.643974021</v>
      </c>
      <c r="L165" s="25">
        <f>'[1]Lease Space vacated and rents'!N38</f>
        <v>6279962.752949762</v>
      </c>
      <c r="M165" s="154">
        <f>'[1]Lease Space vacated and rents'!O38</f>
        <v>6450366.509587906</v>
      </c>
      <c r="N165" s="154">
        <f>'[1]Lease Space vacated and rents'!P38</f>
        <v>6643877.504875544</v>
      </c>
      <c r="O165" s="154">
        <f>'[1]Lease Space vacated and rents'!Q38</f>
        <v>6843193.830021812</v>
      </c>
      <c r="P165" s="154">
        <f>'[1]Lease Space vacated and rents'!R38</f>
        <v>7048489.644922467</v>
      </c>
      <c r="Q165" s="154">
        <f>'[1]Lease Space vacated and rents'!S38</f>
        <v>7259944.33427014</v>
      </c>
      <c r="R165" s="154">
        <f>'[1]Lease Space vacated and rents'!T38</f>
        <v>7477742.664298244</v>
      </c>
      <c r="S165" s="154">
        <f>'[1]Lease Space vacated and rents'!U38</f>
        <v>7702074.9442271935</v>
      </c>
      <c r="T165" s="154">
        <f>'[1]Lease Space vacated and rents'!V38</f>
        <v>7933137.192554008</v>
      </c>
      <c r="U165" s="154">
        <f>'[1]Lease Space vacated and rents'!W38</f>
        <v>8171131.308330627</v>
      </c>
      <c r="V165" s="154">
        <f>'[1]Lease Space vacated and rents'!X38</f>
        <v>8416265.247580549</v>
      </c>
      <c r="W165" s="154">
        <f>'[1]Lease Space vacated and rents'!Y38</f>
        <v>8668753.205007965</v>
      </c>
      <c r="X165" s="154">
        <f>'[1]Lease Space vacated and rents'!Z38</f>
        <v>8928815.801158205</v>
      </c>
      <c r="Y165" s="154">
        <f>'[1]Lease Space vacated and rents'!AA38</f>
        <v>9196680.275192948</v>
      </c>
      <c r="Z165" s="154">
        <f>'[1]Lease Space vacated and rents'!AB38</f>
        <v>9472580.683448737</v>
      </c>
      <c r="AA165" s="154">
        <f>'[1]Lease Space vacated and rents'!AC38</f>
        <v>9756758.103952201</v>
      </c>
      <c r="AB165" s="154">
        <f>'[1]Lease Space vacated and rents'!AD38</f>
        <v>10049460.847070768</v>
      </c>
      <c r="AC165" s="154">
        <f>'[1]Lease Space vacated and rents'!AE38</f>
        <v>10350944.67248289</v>
      </c>
      <c r="AD165" s="154">
        <f>'[1]Lease Space vacated and rents'!AF38</f>
        <v>10661473.012657376</v>
      </c>
      <c r="AE165" s="154">
        <f>'[1]Lease Space vacated and rents'!AG38</f>
        <v>10981317.203037098</v>
      </c>
      <c r="AF165" s="154">
        <f>'[1]Lease Space vacated and rents'!AH38</f>
        <v>11310756.719128208</v>
      </c>
      <c r="AG165" s="154">
        <f>'[1]Lease Space vacated and rents'!AI38</f>
        <v>11650079.42070206</v>
      </c>
      <c r="AH165" s="154">
        <f>'[1]Lease Space vacated and rents'!AJ38</f>
        <v>11999581.803323124</v>
      </c>
      <c r="AI165" s="154">
        <f>'[1]Lease Space vacated and rents'!AK38</f>
        <v>12359569.257422812</v>
      </c>
      <c r="AJ165" s="154">
        <f>'[1]Lease Space vacated and rents'!AL38</f>
        <v>12730356.3351455</v>
      </c>
    </row>
    <row r="166" spans="5:36" ht="12.75">
      <c r="E166" s="156">
        <f t="shared" si="43"/>
        <v>0</v>
      </c>
      <c r="F166" s="168" t="s">
        <v>143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  <c r="Z166" s="25">
        <v>0</v>
      </c>
      <c r="AA166" s="25">
        <v>0</v>
      </c>
      <c r="AB166" s="25">
        <v>0</v>
      </c>
      <c r="AC166" s="25">
        <v>0</v>
      </c>
      <c r="AD166" s="25">
        <v>0</v>
      </c>
      <c r="AE166" s="25">
        <v>0</v>
      </c>
      <c r="AF166" s="25">
        <v>0</v>
      </c>
      <c r="AG166" s="25">
        <v>0</v>
      </c>
      <c r="AH166" s="25">
        <v>0</v>
      </c>
      <c r="AI166" s="25">
        <v>0</v>
      </c>
      <c r="AJ166" s="25">
        <v>0</v>
      </c>
    </row>
    <row r="167" spans="5:36" ht="12.75">
      <c r="E167" s="167">
        <f t="shared" si="43"/>
        <v>0</v>
      </c>
      <c r="F167" s="2" t="s">
        <v>144</v>
      </c>
      <c r="G167" s="25">
        <f aca="true" t="shared" si="44" ref="G167:AJ167">IF(G$151&lt;=ROUNDUP($G$21,0),$G$28,0)</f>
        <v>0</v>
      </c>
      <c r="H167" s="25">
        <f t="shared" si="44"/>
        <v>0</v>
      </c>
      <c r="I167" s="25">
        <f t="shared" si="44"/>
        <v>0</v>
      </c>
      <c r="J167" s="25">
        <f t="shared" si="44"/>
        <v>0</v>
      </c>
      <c r="K167" s="25">
        <f t="shared" si="44"/>
        <v>0</v>
      </c>
      <c r="L167" s="25">
        <f t="shared" si="44"/>
        <v>0</v>
      </c>
      <c r="M167" s="154">
        <f t="shared" si="44"/>
        <v>0</v>
      </c>
      <c r="N167" s="154">
        <f t="shared" si="44"/>
        <v>0</v>
      </c>
      <c r="O167" s="154">
        <f t="shared" si="44"/>
        <v>0</v>
      </c>
      <c r="P167" s="154">
        <f t="shared" si="44"/>
        <v>0</v>
      </c>
      <c r="Q167" s="154">
        <f t="shared" si="44"/>
        <v>0</v>
      </c>
      <c r="R167" s="154">
        <f t="shared" si="44"/>
        <v>0</v>
      </c>
      <c r="S167" s="154">
        <f t="shared" si="44"/>
        <v>0</v>
      </c>
      <c r="T167" s="154">
        <f t="shared" si="44"/>
        <v>0</v>
      </c>
      <c r="U167" s="154">
        <f t="shared" si="44"/>
        <v>0</v>
      </c>
      <c r="V167" s="154">
        <f t="shared" si="44"/>
        <v>0</v>
      </c>
      <c r="W167" s="154">
        <f t="shared" si="44"/>
        <v>0</v>
      </c>
      <c r="X167" s="154">
        <f t="shared" si="44"/>
        <v>0</v>
      </c>
      <c r="Y167" s="154">
        <f t="shared" si="44"/>
        <v>0</v>
      </c>
      <c r="Z167" s="154">
        <f t="shared" si="44"/>
        <v>0</v>
      </c>
      <c r="AA167" s="154">
        <f t="shared" si="44"/>
        <v>0</v>
      </c>
      <c r="AB167" s="154">
        <f t="shared" si="44"/>
        <v>0</v>
      </c>
      <c r="AC167" s="154">
        <f t="shared" si="44"/>
        <v>0</v>
      </c>
      <c r="AD167" s="154">
        <f t="shared" si="44"/>
        <v>0</v>
      </c>
      <c r="AE167" s="154">
        <f t="shared" si="44"/>
        <v>0</v>
      </c>
      <c r="AF167" s="154">
        <f t="shared" si="44"/>
        <v>0</v>
      </c>
      <c r="AG167" s="154">
        <f t="shared" si="44"/>
        <v>0</v>
      </c>
      <c r="AH167" s="154">
        <f t="shared" si="44"/>
        <v>0</v>
      </c>
      <c r="AI167" s="154">
        <f t="shared" si="44"/>
        <v>0</v>
      </c>
      <c r="AJ167" s="154">
        <f t="shared" si="44"/>
        <v>0</v>
      </c>
    </row>
    <row r="168" spans="5:36" ht="12.75">
      <c r="E168" s="167">
        <f t="shared" si="43"/>
        <v>19700000</v>
      </c>
      <c r="F168" s="2" t="s">
        <v>145</v>
      </c>
      <c r="G168" s="161">
        <f aca="true" t="shared" si="45" ref="G168:AJ168">G209-G216</f>
        <v>1068070.261</v>
      </c>
      <c r="H168" s="161">
        <f t="shared" si="45"/>
        <v>1398456.8578299999</v>
      </c>
      <c r="I168" s="25">
        <f t="shared" si="45"/>
        <v>1440410.5635649</v>
      </c>
      <c r="J168" s="25">
        <f t="shared" si="45"/>
        <v>1483622.880471847</v>
      </c>
      <c r="K168" s="25">
        <f t="shared" si="45"/>
        <v>1528131.5668860027</v>
      </c>
      <c r="L168" s="25">
        <f t="shared" si="45"/>
        <v>1573975.5138925829</v>
      </c>
      <c r="M168" s="154">
        <f t="shared" si="45"/>
        <v>1621194.7793093603</v>
      </c>
      <c r="N168" s="154">
        <f t="shared" si="45"/>
        <v>1669830.6226886413</v>
      </c>
      <c r="O168" s="154">
        <f t="shared" si="45"/>
        <v>1719925.5413693006</v>
      </c>
      <c r="P168" s="154">
        <f t="shared" si="45"/>
        <v>1771523.3076103795</v>
      </c>
      <c r="Q168" s="154">
        <f t="shared" si="45"/>
        <v>1824669.0068386914</v>
      </c>
      <c r="R168" s="154">
        <f t="shared" si="45"/>
        <v>1879409.0770438518</v>
      </c>
      <c r="S168" s="154">
        <f t="shared" si="45"/>
        <v>1935791.3493551672</v>
      </c>
      <c r="T168" s="154">
        <f t="shared" si="45"/>
        <v>1993865.089835823</v>
      </c>
      <c r="U168" s="154">
        <f t="shared" si="45"/>
        <v>2053681.042530898</v>
      </c>
      <c r="V168" s="154">
        <f t="shared" si="45"/>
        <v>2115291.473806825</v>
      </c>
      <c r="W168" s="154">
        <f t="shared" si="45"/>
        <v>2178750.21802103</v>
      </c>
      <c r="X168" s="154">
        <f t="shared" si="45"/>
        <v>2244112.7245616615</v>
      </c>
      <c r="Y168" s="154">
        <f t="shared" si="45"/>
        <v>2311436.106298512</v>
      </c>
      <c r="Z168" s="154">
        <f t="shared" si="45"/>
        <v>2380779.1894874666</v>
      </c>
      <c r="AA168" s="154">
        <f t="shared" si="45"/>
        <v>2452202.5651720907</v>
      </c>
      <c r="AB168" s="154">
        <f t="shared" si="45"/>
        <v>2525768.6421272536</v>
      </c>
      <c r="AC168" s="154">
        <f t="shared" si="45"/>
        <v>2601541.701391071</v>
      </c>
      <c r="AD168" s="154">
        <f t="shared" si="45"/>
        <v>2679587.9524328024</v>
      </c>
      <c r="AE168" s="154">
        <f t="shared" si="45"/>
        <v>2759975.5910057873</v>
      </c>
      <c r="AF168" s="154">
        <f t="shared" si="45"/>
        <v>2842774.8587359614</v>
      </c>
      <c r="AG168" s="154">
        <f t="shared" si="45"/>
        <v>2928058.1044980404</v>
      </c>
      <c r="AH168" s="154">
        <f t="shared" si="45"/>
        <v>3015899.847632982</v>
      </c>
      <c r="AI168" s="154">
        <f t="shared" si="45"/>
        <v>3106376.8430619715</v>
      </c>
      <c r="AJ168" s="154">
        <f t="shared" si="45"/>
        <v>3199568.1483538314</v>
      </c>
    </row>
    <row r="169" spans="5:36" ht="12.75">
      <c r="E169" s="167">
        <f t="shared" si="43"/>
        <v>4300000</v>
      </c>
      <c r="F169" s="2" t="s">
        <v>146</v>
      </c>
      <c r="G169" s="161">
        <f>0.75*'[1]Lease Space vacated and rents'!$F$40</f>
        <v>222444</v>
      </c>
      <c r="H169" s="25">
        <f>(1+G30)*'[1]Lease Space vacated and rents'!$F$40</f>
        <v>305489.76</v>
      </c>
      <c r="I169" s="25">
        <f aca="true" t="shared" si="46" ref="I169:AJ169">H169*(1+$G$30)</f>
        <v>314654.4528</v>
      </c>
      <c r="J169" s="25">
        <f t="shared" si="46"/>
        <v>324094.086384</v>
      </c>
      <c r="K169" s="25">
        <f t="shared" si="46"/>
        <v>333816.90897552005</v>
      </c>
      <c r="L169" s="25">
        <f t="shared" si="46"/>
        <v>343831.41624478565</v>
      </c>
      <c r="M169" s="154">
        <f t="shared" si="46"/>
        <v>354146.3587321292</v>
      </c>
      <c r="N169" s="154">
        <f t="shared" si="46"/>
        <v>364770.7494940931</v>
      </c>
      <c r="O169" s="154">
        <f t="shared" si="46"/>
        <v>375713.87197891594</v>
      </c>
      <c r="P169" s="154">
        <f t="shared" si="46"/>
        <v>386985.2881382834</v>
      </c>
      <c r="Q169" s="154">
        <f t="shared" si="46"/>
        <v>398594.84678243194</v>
      </c>
      <c r="R169" s="154">
        <f t="shared" si="46"/>
        <v>410552.6921859049</v>
      </c>
      <c r="S169" s="154">
        <f t="shared" si="46"/>
        <v>422869.27295148204</v>
      </c>
      <c r="T169" s="154">
        <f t="shared" si="46"/>
        <v>435555.3511400265</v>
      </c>
      <c r="U169" s="154">
        <f t="shared" si="46"/>
        <v>448622.0116742273</v>
      </c>
      <c r="V169" s="154">
        <f t="shared" si="46"/>
        <v>462080.67202445416</v>
      </c>
      <c r="W169" s="154">
        <f t="shared" si="46"/>
        <v>475943.0921851878</v>
      </c>
      <c r="X169" s="154">
        <f t="shared" si="46"/>
        <v>490221.38495074346</v>
      </c>
      <c r="Y169" s="154">
        <f t="shared" si="46"/>
        <v>504928.0264992658</v>
      </c>
      <c r="Z169" s="154">
        <f t="shared" si="46"/>
        <v>520075.86729424377</v>
      </c>
      <c r="AA169" s="154">
        <f t="shared" si="46"/>
        <v>535678.1433130711</v>
      </c>
      <c r="AB169" s="154">
        <f t="shared" si="46"/>
        <v>551748.4876124633</v>
      </c>
      <c r="AC169" s="154">
        <f t="shared" si="46"/>
        <v>568300.9422408373</v>
      </c>
      <c r="AD169" s="154">
        <f t="shared" si="46"/>
        <v>585349.9705080624</v>
      </c>
      <c r="AE169" s="154">
        <f t="shared" si="46"/>
        <v>602910.4696233043</v>
      </c>
      <c r="AF169" s="154">
        <f t="shared" si="46"/>
        <v>620997.7837120035</v>
      </c>
      <c r="AG169" s="154">
        <f t="shared" si="46"/>
        <v>639627.7172233636</v>
      </c>
      <c r="AH169" s="154">
        <f t="shared" si="46"/>
        <v>658816.5487400645</v>
      </c>
      <c r="AI169" s="154">
        <f t="shared" si="46"/>
        <v>678581.0452022664</v>
      </c>
      <c r="AJ169" s="154">
        <f t="shared" si="46"/>
        <v>698938.4765583344</v>
      </c>
    </row>
    <row r="170" spans="5:36" ht="12.75" hidden="1">
      <c r="E170" s="169">
        <f t="shared" si="43"/>
        <v>0</v>
      </c>
      <c r="F170" s="2" t="s">
        <v>147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154">
        <v>0</v>
      </c>
      <c r="N170" s="154">
        <v>0</v>
      </c>
      <c r="O170" s="154">
        <v>0</v>
      </c>
      <c r="P170" s="154">
        <v>0</v>
      </c>
      <c r="Q170" s="154">
        <v>0</v>
      </c>
      <c r="R170" s="154">
        <v>0</v>
      </c>
      <c r="S170" s="154">
        <v>0</v>
      </c>
      <c r="T170" s="154">
        <v>0</v>
      </c>
      <c r="U170" s="154">
        <v>0</v>
      </c>
      <c r="V170" s="154">
        <v>0</v>
      </c>
      <c r="W170" s="154">
        <v>0</v>
      </c>
      <c r="X170" s="154">
        <v>0</v>
      </c>
      <c r="Y170" s="154">
        <v>0</v>
      </c>
      <c r="Z170" s="154">
        <v>0</v>
      </c>
      <c r="AA170" s="154">
        <v>0</v>
      </c>
      <c r="AB170" s="154">
        <v>0</v>
      </c>
      <c r="AC170" s="154">
        <v>0</v>
      </c>
      <c r="AD170" s="154">
        <v>0</v>
      </c>
      <c r="AE170" s="154">
        <v>0</v>
      </c>
      <c r="AF170" s="154">
        <v>0</v>
      </c>
      <c r="AG170" s="154">
        <v>0</v>
      </c>
      <c r="AH170" s="154">
        <v>0</v>
      </c>
      <c r="AI170" s="154">
        <v>0</v>
      </c>
      <c r="AJ170" s="154">
        <v>0</v>
      </c>
    </row>
    <row r="171" spans="5:67" s="163" customFormat="1" ht="12.75">
      <c r="E171" s="167">
        <f t="shared" si="43"/>
        <v>102000000</v>
      </c>
      <c r="F171" s="170" t="s">
        <v>148</v>
      </c>
      <c r="G171" s="164">
        <f aca="true" t="shared" si="47" ref="G171:AJ171">SUM(G165:G170)</f>
        <v>4970996.897983333</v>
      </c>
      <c r="H171" s="164">
        <f t="shared" si="47"/>
        <v>7347240.031969249</v>
      </c>
      <c r="I171" s="164">
        <f t="shared" si="47"/>
        <v>7551032.518128328</v>
      </c>
      <c r="J171" s="164">
        <f t="shared" si="47"/>
        <v>7760606.284576177</v>
      </c>
      <c r="K171" s="164">
        <f t="shared" si="47"/>
        <v>7976128.119835543</v>
      </c>
      <c r="L171" s="164">
        <f t="shared" si="47"/>
        <v>8197769.68308713</v>
      </c>
      <c r="M171" s="165">
        <f t="shared" si="47"/>
        <v>8425707.647629395</v>
      </c>
      <c r="N171" s="165">
        <f t="shared" si="47"/>
        <v>8678478.877058279</v>
      </c>
      <c r="O171" s="165">
        <f t="shared" si="47"/>
        <v>8938833.243370028</v>
      </c>
      <c r="P171" s="165">
        <f t="shared" si="47"/>
        <v>9206998.24067113</v>
      </c>
      <c r="Q171" s="165">
        <f t="shared" si="47"/>
        <v>9483208.187891264</v>
      </c>
      <c r="R171" s="165">
        <f t="shared" si="47"/>
        <v>9767704.433528</v>
      </c>
      <c r="S171" s="165">
        <f t="shared" si="47"/>
        <v>10060735.566533843</v>
      </c>
      <c r="T171" s="165">
        <f t="shared" si="47"/>
        <v>10362557.633529857</v>
      </c>
      <c r="U171" s="165">
        <f t="shared" si="47"/>
        <v>10673434.362535752</v>
      </c>
      <c r="V171" s="165">
        <f t="shared" si="47"/>
        <v>10993637.393411828</v>
      </c>
      <c r="W171" s="165">
        <f t="shared" si="47"/>
        <v>11323446.515214182</v>
      </c>
      <c r="X171" s="165">
        <f t="shared" si="47"/>
        <v>11663149.91067061</v>
      </c>
      <c r="Y171" s="165">
        <f t="shared" si="47"/>
        <v>12013044.407990726</v>
      </c>
      <c r="Z171" s="165">
        <f t="shared" si="47"/>
        <v>12373435.740230449</v>
      </c>
      <c r="AA171" s="165">
        <f t="shared" si="47"/>
        <v>12744638.812437363</v>
      </c>
      <c r="AB171" s="165">
        <f t="shared" si="47"/>
        <v>13126977.976810485</v>
      </c>
      <c r="AC171" s="165">
        <f t="shared" si="47"/>
        <v>13520787.316114798</v>
      </c>
      <c r="AD171" s="165">
        <f t="shared" si="47"/>
        <v>13926410.935598241</v>
      </c>
      <c r="AE171" s="165">
        <f t="shared" si="47"/>
        <v>14344203.26366619</v>
      </c>
      <c r="AF171" s="165">
        <f t="shared" si="47"/>
        <v>14774529.361576173</v>
      </c>
      <c r="AG171" s="165">
        <f t="shared" si="47"/>
        <v>15217765.242423464</v>
      </c>
      <c r="AH171" s="165">
        <f t="shared" si="47"/>
        <v>15674298.19969617</v>
      </c>
      <c r="AI171" s="165">
        <f t="shared" si="47"/>
        <v>16144527.145687051</v>
      </c>
      <c r="AJ171" s="165">
        <f t="shared" si="47"/>
        <v>16628862.960057667</v>
      </c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  <c r="BI171" s="166"/>
      <c r="BJ171" s="166"/>
      <c r="BK171" s="166"/>
      <c r="BL171" s="166"/>
      <c r="BM171" s="166"/>
      <c r="BN171" s="166"/>
      <c r="BO171" s="166"/>
    </row>
    <row r="172" spans="5:12" ht="12.75">
      <c r="E172" s="1"/>
      <c r="F172" s="2"/>
      <c r="G172" s="2"/>
      <c r="H172" s="2"/>
      <c r="I172" s="2"/>
      <c r="J172" s="2"/>
      <c r="K172" s="2"/>
      <c r="L172" s="2"/>
    </row>
    <row r="173" spans="5:67" s="171" customFormat="1" ht="13.5">
      <c r="E173" s="172">
        <f>ROUND(NPV($G$31,G173:AH173),-5)</f>
        <v>25800000</v>
      </c>
      <c r="F173" s="173" t="s">
        <v>149</v>
      </c>
      <c r="G173" s="174">
        <f aca="true" t="shared" si="48" ref="G173:AJ173">G171-G162</f>
        <v>4570694.484363693</v>
      </c>
      <c r="H173" s="174">
        <f t="shared" si="48"/>
        <v>-191328.5964614926</v>
      </c>
      <c r="I173" s="175">
        <f t="shared" si="48"/>
        <v>-1051.1940578492358</v>
      </c>
      <c r="J173" s="176">
        <f t="shared" si="48"/>
        <v>200285.8111219015</v>
      </c>
      <c r="K173" s="176">
        <f t="shared" si="48"/>
        <v>407790.90727512725</v>
      </c>
      <c r="L173" s="176">
        <f t="shared" si="48"/>
        <v>616829.704247389</v>
      </c>
      <c r="M173" s="177">
        <f t="shared" si="48"/>
        <v>838175.0695219487</v>
      </c>
      <c r="N173" s="177">
        <f t="shared" si="48"/>
        <v>1080254.796705096</v>
      </c>
      <c r="O173" s="177">
        <f t="shared" si="48"/>
        <v>1326314.4157037372</v>
      </c>
      <c r="P173" s="178">
        <f t="shared" si="48"/>
        <v>1582126.7982723378</v>
      </c>
      <c r="Q173" s="178">
        <f t="shared" si="48"/>
        <v>1845972.1023179945</v>
      </c>
      <c r="R173" s="178">
        <f t="shared" si="48"/>
        <v>2120252.967985021</v>
      </c>
      <c r="S173" s="178">
        <f t="shared" si="48"/>
        <v>2402909.7196220616</v>
      </c>
      <c r="T173" s="178">
        <f t="shared" si="48"/>
        <v>2688784.073808209</v>
      </c>
      <c r="U173" s="178">
        <f t="shared" si="48"/>
        <v>2986284.3536199424</v>
      </c>
      <c r="V173" s="178">
        <f t="shared" si="48"/>
        <v>3293196.2093260316</v>
      </c>
      <c r="W173" s="178">
        <f t="shared" si="48"/>
        <v>3609055.345703299</v>
      </c>
      <c r="X173" s="178">
        <f t="shared" si="48"/>
        <v>3934642.7561718877</v>
      </c>
      <c r="Y173" s="178">
        <f t="shared" si="48"/>
        <v>4270747.713954529</v>
      </c>
      <c r="Z173" s="178">
        <f t="shared" si="48"/>
        <v>4618168.020470653</v>
      </c>
      <c r="AA173" s="178">
        <f t="shared" si="48"/>
        <v>4972660.261182261</v>
      </c>
      <c r="AB173" s="178">
        <f t="shared" si="48"/>
        <v>5337236.819115217</v>
      </c>
      <c r="AC173" s="178">
        <f t="shared" si="48"/>
        <v>5714692.146286159</v>
      </c>
      <c r="AD173" s="178">
        <f t="shared" si="48"/>
        <v>6105179.04327223</v>
      </c>
      <c r="AE173" s="178">
        <f t="shared" si="48"/>
        <v>6501512.447167886</v>
      </c>
      <c r="AF173" s="178">
        <f t="shared" si="48"/>
        <v>6915151.978180408</v>
      </c>
      <c r="AG173" s="178">
        <f t="shared" si="48"/>
        <v>12776549.665039554</v>
      </c>
      <c r="AH173" s="178">
        <f t="shared" si="48"/>
        <v>15011320.079990745</v>
      </c>
      <c r="AI173" s="178">
        <f t="shared" si="48"/>
        <v>15461659.682390463</v>
      </c>
      <c r="AJ173" s="178">
        <f t="shared" si="48"/>
        <v>15925509.47286218</v>
      </c>
      <c r="AK173" s="179"/>
      <c r="AL173" s="179"/>
      <c r="AM173" s="179"/>
      <c r="AN173" s="179"/>
      <c r="AO173" s="179"/>
      <c r="AP173" s="179"/>
      <c r="AQ173" s="179"/>
      <c r="AR173" s="179"/>
      <c r="AS173" s="179"/>
      <c r="AT173" s="179"/>
      <c r="AU173" s="179"/>
      <c r="AV173" s="179"/>
      <c r="AW173" s="179"/>
      <c r="AX173" s="179"/>
      <c r="AY173" s="179"/>
      <c r="AZ173" s="179"/>
      <c r="BA173" s="179"/>
      <c r="BB173" s="179"/>
      <c r="BC173" s="179"/>
      <c r="BD173" s="179"/>
      <c r="BE173" s="179"/>
      <c r="BF173" s="179"/>
      <c r="BG173" s="179"/>
      <c r="BH173" s="179"/>
      <c r="BI173" s="179"/>
      <c r="BJ173" s="179"/>
      <c r="BK173" s="179"/>
      <c r="BL173" s="179"/>
      <c r="BM173" s="179"/>
      <c r="BN173" s="179"/>
      <c r="BO173" s="179"/>
    </row>
    <row r="174" spans="5:12" ht="12.75">
      <c r="E174" s="180" t="s">
        <v>150</v>
      </c>
      <c r="F174" s="2"/>
      <c r="G174" s="2"/>
      <c r="H174" s="2"/>
      <c r="I174" s="2"/>
      <c r="J174" s="2"/>
      <c r="K174" s="2"/>
      <c r="L174" s="2"/>
    </row>
    <row r="175" spans="5:36" ht="12.75">
      <c r="E175" s="1"/>
      <c r="F175" s="2" t="s">
        <v>151</v>
      </c>
      <c r="G175" s="30">
        <f>G173</f>
        <v>4570694.484363693</v>
      </c>
      <c r="H175" s="30">
        <f aca="true" t="shared" si="49" ref="H175:AJ175">G175+H173</f>
        <v>4379365.8879022</v>
      </c>
      <c r="I175" s="30">
        <f t="shared" si="49"/>
        <v>4378314.693844351</v>
      </c>
      <c r="J175" s="30">
        <f t="shared" si="49"/>
        <v>4578600.5049662525</v>
      </c>
      <c r="K175" s="30">
        <f t="shared" si="49"/>
        <v>4986391.41224138</v>
      </c>
      <c r="L175" s="30">
        <f t="shared" si="49"/>
        <v>5603221.116488769</v>
      </c>
      <c r="M175" s="159">
        <f t="shared" si="49"/>
        <v>6441396.186010717</v>
      </c>
      <c r="N175" s="159">
        <f t="shared" si="49"/>
        <v>7521650.982715813</v>
      </c>
      <c r="O175" s="159">
        <f t="shared" si="49"/>
        <v>8847965.398419552</v>
      </c>
      <c r="P175" s="159">
        <f t="shared" si="49"/>
        <v>10430092.19669189</v>
      </c>
      <c r="Q175" s="159">
        <f t="shared" si="49"/>
        <v>12276064.299009884</v>
      </c>
      <c r="R175" s="159">
        <f t="shared" si="49"/>
        <v>14396317.266994905</v>
      </c>
      <c r="S175" s="159">
        <f t="shared" si="49"/>
        <v>16799226.986616965</v>
      </c>
      <c r="T175" s="159">
        <f t="shared" si="49"/>
        <v>19488011.060425173</v>
      </c>
      <c r="U175" s="159">
        <f t="shared" si="49"/>
        <v>22474295.414045118</v>
      </c>
      <c r="V175" s="159">
        <f t="shared" si="49"/>
        <v>25767491.62337115</v>
      </c>
      <c r="W175" s="159">
        <f t="shared" si="49"/>
        <v>29376546.96907445</v>
      </c>
      <c r="X175" s="159">
        <f t="shared" si="49"/>
        <v>33311189.72524634</v>
      </c>
      <c r="Y175" s="159">
        <f t="shared" si="49"/>
        <v>37581937.43920087</v>
      </c>
      <c r="Z175" s="159">
        <f t="shared" si="49"/>
        <v>42200105.45967153</v>
      </c>
      <c r="AA175" s="159">
        <f t="shared" si="49"/>
        <v>47172765.72085379</v>
      </c>
      <c r="AB175" s="159">
        <f t="shared" si="49"/>
        <v>52510002.539969005</v>
      </c>
      <c r="AC175" s="159">
        <f t="shared" si="49"/>
        <v>58224694.686255164</v>
      </c>
      <c r="AD175" s="159">
        <f t="shared" si="49"/>
        <v>64329873.72952739</v>
      </c>
      <c r="AE175" s="159">
        <f t="shared" si="49"/>
        <v>70831386.17669527</v>
      </c>
      <c r="AF175" s="159">
        <f t="shared" si="49"/>
        <v>77746538.15487568</v>
      </c>
      <c r="AG175" s="159">
        <f t="shared" si="49"/>
        <v>90523087.81991524</v>
      </c>
      <c r="AH175" s="159">
        <f t="shared" si="49"/>
        <v>105534407.89990598</v>
      </c>
      <c r="AI175" s="159">
        <f t="shared" si="49"/>
        <v>120996067.58229645</v>
      </c>
      <c r="AJ175" s="159">
        <f t="shared" si="49"/>
        <v>136921577.05515862</v>
      </c>
    </row>
    <row r="176" spans="5:36" ht="12.75">
      <c r="E176" s="1"/>
      <c r="F176" s="2"/>
      <c r="G176" s="30"/>
      <c r="H176" s="30"/>
      <c r="I176" s="30"/>
      <c r="J176" s="30"/>
      <c r="K176" s="30"/>
      <c r="L176" s="30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</row>
    <row r="177" spans="5:67" s="188" customFormat="1" ht="12.75" hidden="1">
      <c r="E177" s="181"/>
      <c r="F177" s="182" t="s">
        <v>152</v>
      </c>
      <c r="G177" s="183">
        <v>0</v>
      </c>
      <c r="H177" s="184" t="s">
        <v>153</v>
      </c>
      <c r="I177" s="185"/>
      <c r="J177" s="185"/>
      <c r="K177" s="30"/>
      <c r="L177" s="30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6"/>
      <c r="AI177" s="186"/>
      <c r="AJ177" s="186"/>
      <c r="AK177" s="187"/>
      <c r="AL177" s="187"/>
      <c r="AM177" s="187"/>
      <c r="AN177" s="187"/>
      <c r="AO177" s="187"/>
      <c r="AP177" s="187"/>
      <c r="AQ177" s="187"/>
      <c r="AR177" s="187"/>
      <c r="AS177" s="187"/>
      <c r="AT177" s="187"/>
      <c r="AU177" s="187"/>
      <c r="AV177" s="187"/>
      <c r="AW177" s="187"/>
      <c r="AX177" s="187"/>
      <c r="AY177" s="187"/>
      <c r="AZ177" s="187"/>
      <c r="BA177" s="187"/>
      <c r="BB177" s="187"/>
      <c r="BC177" s="187"/>
      <c r="BD177" s="187"/>
      <c r="BE177" s="187"/>
      <c r="BF177" s="187"/>
      <c r="BG177" s="187"/>
      <c r="BH177" s="187"/>
      <c r="BI177" s="187"/>
      <c r="BJ177" s="187"/>
      <c r="BK177" s="187"/>
      <c r="BL177" s="187"/>
      <c r="BM177" s="187"/>
      <c r="BN177" s="187"/>
      <c r="BO177" s="187"/>
    </row>
    <row r="178" spans="5:36" ht="12.75" hidden="1">
      <c r="E178" s="181"/>
      <c r="F178" s="189" t="s">
        <v>154</v>
      </c>
      <c r="G178" s="190"/>
      <c r="H178" s="185"/>
      <c r="I178" s="185"/>
      <c r="J178" s="185"/>
      <c r="K178" s="30"/>
      <c r="L178" s="30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</row>
    <row r="179" spans="5:36" ht="12.75" hidden="1">
      <c r="E179" s="1"/>
      <c r="F179" s="2" t="s">
        <v>155</v>
      </c>
      <c r="G179" s="30">
        <f aca="true" t="shared" si="50" ref="G179:AJ179">$G$177+G175</f>
        <v>4570694.484363693</v>
      </c>
      <c r="H179" s="185">
        <f t="shared" si="50"/>
        <v>4379365.8879022</v>
      </c>
      <c r="I179" s="185">
        <f t="shared" si="50"/>
        <v>4378314.693844351</v>
      </c>
      <c r="J179" s="185">
        <f t="shared" si="50"/>
        <v>4578600.5049662525</v>
      </c>
      <c r="K179" s="30">
        <f t="shared" si="50"/>
        <v>4986391.41224138</v>
      </c>
      <c r="L179" s="30">
        <f t="shared" si="50"/>
        <v>5603221.116488769</v>
      </c>
      <c r="M179" s="159">
        <f t="shared" si="50"/>
        <v>6441396.186010717</v>
      </c>
      <c r="N179" s="159">
        <f t="shared" si="50"/>
        <v>7521650.982715813</v>
      </c>
      <c r="O179" s="159">
        <f t="shared" si="50"/>
        <v>8847965.398419552</v>
      </c>
      <c r="P179" s="159">
        <f t="shared" si="50"/>
        <v>10430092.19669189</v>
      </c>
      <c r="Q179" s="159">
        <f t="shared" si="50"/>
        <v>12276064.299009884</v>
      </c>
      <c r="R179" s="159">
        <f t="shared" si="50"/>
        <v>14396317.266994905</v>
      </c>
      <c r="S179" s="159">
        <f t="shared" si="50"/>
        <v>16799226.986616965</v>
      </c>
      <c r="T179" s="159">
        <f t="shared" si="50"/>
        <v>19488011.060425173</v>
      </c>
      <c r="U179" s="159">
        <f t="shared" si="50"/>
        <v>22474295.414045118</v>
      </c>
      <c r="V179" s="159">
        <f t="shared" si="50"/>
        <v>25767491.62337115</v>
      </c>
      <c r="W179" s="159">
        <f t="shared" si="50"/>
        <v>29376546.96907445</v>
      </c>
      <c r="X179" s="159">
        <f t="shared" si="50"/>
        <v>33311189.72524634</v>
      </c>
      <c r="Y179" s="159">
        <f t="shared" si="50"/>
        <v>37581937.43920087</v>
      </c>
      <c r="Z179" s="159">
        <f t="shared" si="50"/>
        <v>42200105.45967153</v>
      </c>
      <c r="AA179" s="159">
        <f t="shared" si="50"/>
        <v>47172765.72085379</v>
      </c>
      <c r="AB179" s="159">
        <f t="shared" si="50"/>
        <v>52510002.539969005</v>
      </c>
      <c r="AC179" s="159">
        <f t="shared" si="50"/>
        <v>58224694.686255164</v>
      </c>
      <c r="AD179" s="159">
        <f t="shared" si="50"/>
        <v>64329873.72952739</v>
      </c>
      <c r="AE179" s="159">
        <f t="shared" si="50"/>
        <v>70831386.17669527</v>
      </c>
      <c r="AF179" s="159">
        <f t="shared" si="50"/>
        <v>77746538.15487568</v>
      </c>
      <c r="AG179" s="159">
        <f t="shared" si="50"/>
        <v>90523087.81991524</v>
      </c>
      <c r="AH179" s="159">
        <f t="shared" si="50"/>
        <v>105534407.89990598</v>
      </c>
      <c r="AI179" s="159">
        <f t="shared" si="50"/>
        <v>120996067.58229645</v>
      </c>
      <c r="AJ179" s="159">
        <f t="shared" si="50"/>
        <v>136921577.05515862</v>
      </c>
    </row>
    <row r="180" spans="5:36" ht="12.75">
      <c r="E180" s="1"/>
      <c r="F180" s="2"/>
      <c r="G180" s="30"/>
      <c r="H180" s="30"/>
      <c r="I180" s="30"/>
      <c r="J180" s="30"/>
      <c r="K180" s="30"/>
      <c r="L180" s="30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</row>
    <row r="181" spans="5:36" ht="12.75" hidden="1">
      <c r="E181" s="191">
        <f>ROUND(NPV($G$31,G181:AH181),-5)</f>
        <v>-7300000</v>
      </c>
      <c r="F181" s="153" t="s">
        <v>156</v>
      </c>
      <c r="G181" s="30">
        <f>'[1]Kinzer Info'!O138</f>
        <v>-1212762.7087995321</v>
      </c>
      <c r="H181" s="30">
        <f>'[1]Kinzer Info'!P138</f>
        <v>-1229758.580063518</v>
      </c>
      <c r="I181" s="30">
        <f>'[1]Kinzer Info'!Q138</f>
        <v>-1377989.5974654234</v>
      </c>
      <c r="J181" s="30">
        <f>'[1]Kinzer Info'!R138</f>
        <v>-1377829.6503893854</v>
      </c>
      <c r="K181" s="30">
        <f>'[1]Kinzer Info'!S138</f>
        <v>-1411762.559901068</v>
      </c>
      <c r="L181" s="30">
        <f>'[1]Kinzer Info'!T138</f>
        <v>-1577438.7266981</v>
      </c>
      <c r="M181" s="159">
        <f>'[1]Kinzer Info'!U138</f>
        <v>-1749282.2834990432</v>
      </c>
      <c r="N181" s="159">
        <f>'[1]Kinzer Info'!V138</f>
        <v>0</v>
      </c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</row>
    <row r="182" spans="5:36" ht="12.75" hidden="1">
      <c r="E182" s="191">
        <f>ROUND(NPV($G$31,G182:AH182),-5)</f>
        <v>-83600000</v>
      </c>
      <c r="F182" s="2" t="s">
        <v>157</v>
      </c>
      <c r="G182" s="30">
        <f>G181</f>
        <v>-1212762.7087995321</v>
      </c>
      <c r="H182" s="30">
        <f aca="true" t="shared" si="51" ref="H182:AJ182">H181+G182</f>
        <v>-2442521.28886305</v>
      </c>
      <c r="I182" s="30">
        <f t="shared" si="51"/>
        <v>-3820510.886328473</v>
      </c>
      <c r="J182" s="30">
        <f t="shared" si="51"/>
        <v>-5198340.536717858</v>
      </c>
      <c r="K182" s="30">
        <f t="shared" si="51"/>
        <v>-6610103.096618926</v>
      </c>
      <c r="L182" s="30">
        <f t="shared" si="51"/>
        <v>-8187541.823317027</v>
      </c>
      <c r="M182" s="159">
        <f t="shared" si="51"/>
        <v>-9936824.10681607</v>
      </c>
      <c r="N182" s="159">
        <f t="shared" si="51"/>
        <v>-9936824.10681607</v>
      </c>
      <c r="O182" s="159">
        <f t="shared" si="51"/>
        <v>-9936824.10681607</v>
      </c>
      <c r="P182" s="159">
        <f t="shared" si="51"/>
        <v>-9936824.10681607</v>
      </c>
      <c r="Q182" s="159">
        <f t="shared" si="51"/>
        <v>-9936824.10681607</v>
      </c>
      <c r="R182" s="159">
        <f t="shared" si="51"/>
        <v>-9936824.10681607</v>
      </c>
      <c r="S182" s="159">
        <f t="shared" si="51"/>
        <v>-9936824.10681607</v>
      </c>
      <c r="T182" s="159">
        <f t="shared" si="51"/>
        <v>-9936824.10681607</v>
      </c>
      <c r="U182" s="159">
        <f t="shared" si="51"/>
        <v>-9936824.10681607</v>
      </c>
      <c r="V182" s="159">
        <f t="shared" si="51"/>
        <v>-9936824.10681607</v>
      </c>
      <c r="W182" s="159">
        <f t="shared" si="51"/>
        <v>-9936824.10681607</v>
      </c>
      <c r="X182" s="159">
        <f t="shared" si="51"/>
        <v>-9936824.10681607</v>
      </c>
      <c r="Y182" s="159">
        <f t="shared" si="51"/>
        <v>-9936824.10681607</v>
      </c>
      <c r="Z182" s="159">
        <f t="shared" si="51"/>
        <v>-9936824.10681607</v>
      </c>
      <c r="AA182" s="159">
        <f t="shared" si="51"/>
        <v>-9936824.10681607</v>
      </c>
      <c r="AB182" s="159">
        <f t="shared" si="51"/>
        <v>-9936824.10681607</v>
      </c>
      <c r="AC182" s="159">
        <f t="shared" si="51"/>
        <v>-9936824.10681607</v>
      </c>
      <c r="AD182" s="159">
        <f t="shared" si="51"/>
        <v>-9936824.10681607</v>
      </c>
      <c r="AE182" s="159">
        <f t="shared" si="51"/>
        <v>-9936824.10681607</v>
      </c>
      <c r="AF182" s="159">
        <f t="shared" si="51"/>
        <v>-9936824.10681607</v>
      </c>
      <c r="AG182" s="159">
        <f t="shared" si="51"/>
        <v>-9936824.10681607</v>
      </c>
      <c r="AH182" s="159">
        <f t="shared" si="51"/>
        <v>-9936824.10681607</v>
      </c>
      <c r="AI182" s="159">
        <f t="shared" si="51"/>
        <v>-9936824.10681607</v>
      </c>
      <c r="AJ182" s="159">
        <f t="shared" si="51"/>
        <v>-9936824.10681607</v>
      </c>
    </row>
    <row r="183" spans="5:36" ht="12.75" hidden="1">
      <c r="E183" s="1"/>
      <c r="F183" s="2"/>
      <c r="G183" s="30"/>
      <c r="H183" s="30"/>
      <c r="I183" s="30"/>
      <c r="J183" s="30"/>
      <c r="K183" s="30"/>
      <c r="L183" s="30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</row>
    <row r="184" spans="5:36" ht="12.75" hidden="1">
      <c r="E184" s="1"/>
      <c r="F184" s="2" t="s">
        <v>158</v>
      </c>
      <c r="G184" s="30">
        <f aca="true" t="shared" si="52" ref="G184:AJ184">G173</f>
        <v>4570694.484363693</v>
      </c>
      <c r="H184" s="30">
        <f t="shared" si="52"/>
        <v>-191328.5964614926</v>
      </c>
      <c r="I184" s="30">
        <f t="shared" si="52"/>
        <v>-1051.1940578492358</v>
      </c>
      <c r="J184" s="30">
        <f t="shared" si="52"/>
        <v>200285.8111219015</v>
      </c>
      <c r="K184" s="30">
        <f t="shared" si="52"/>
        <v>407790.90727512725</v>
      </c>
      <c r="L184" s="30">
        <f t="shared" si="52"/>
        <v>616829.704247389</v>
      </c>
      <c r="M184" s="159">
        <f t="shared" si="52"/>
        <v>838175.0695219487</v>
      </c>
      <c r="N184" s="159">
        <f t="shared" si="52"/>
        <v>1080254.796705096</v>
      </c>
      <c r="O184" s="159">
        <f t="shared" si="52"/>
        <v>1326314.4157037372</v>
      </c>
      <c r="P184" s="159">
        <f t="shared" si="52"/>
        <v>1582126.7982723378</v>
      </c>
      <c r="Q184" s="159">
        <f t="shared" si="52"/>
        <v>1845972.1023179945</v>
      </c>
      <c r="R184" s="159">
        <f t="shared" si="52"/>
        <v>2120252.967985021</v>
      </c>
      <c r="S184" s="159">
        <f t="shared" si="52"/>
        <v>2402909.7196220616</v>
      </c>
      <c r="T184" s="159">
        <f t="shared" si="52"/>
        <v>2688784.073808209</v>
      </c>
      <c r="U184" s="159">
        <f t="shared" si="52"/>
        <v>2986284.3536199424</v>
      </c>
      <c r="V184" s="159">
        <f t="shared" si="52"/>
        <v>3293196.2093260316</v>
      </c>
      <c r="W184" s="159">
        <f t="shared" si="52"/>
        <v>3609055.345703299</v>
      </c>
      <c r="X184" s="159">
        <f t="shared" si="52"/>
        <v>3934642.7561718877</v>
      </c>
      <c r="Y184" s="159">
        <f t="shared" si="52"/>
        <v>4270747.713954529</v>
      </c>
      <c r="Z184" s="159">
        <f t="shared" si="52"/>
        <v>4618168.020470653</v>
      </c>
      <c r="AA184" s="159">
        <f t="shared" si="52"/>
        <v>4972660.261182261</v>
      </c>
      <c r="AB184" s="159">
        <f t="shared" si="52"/>
        <v>5337236.819115217</v>
      </c>
      <c r="AC184" s="159">
        <f t="shared" si="52"/>
        <v>5714692.146286159</v>
      </c>
      <c r="AD184" s="159">
        <f t="shared" si="52"/>
        <v>6105179.04327223</v>
      </c>
      <c r="AE184" s="159">
        <f t="shared" si="52"/>
        <v>6501512.447167886</v>
      </c>
      <c r="AF184" s="159">
        <f t="shared" si="52"/>
        <v>6915151.978180408</v>
      </c>
      <c r="AG184" s="159">
        <f t="shared" si="52"/>
        <v>12776549.665039554</v>
      </c>
      <c r="AH184" s="159">
        <f t="shared" si="52"/>
        <v>15011320.079990745</v>
      </c>
      <c r="AI184" s="159">
        <f t="shared" si="52"/>
        <v>15461659.682390463</v>
      </c>
      <c r="AJ184" s="159">
        <f t="shared" si="52"/>
        <v>15925509.47286218</v>
      </c>
    </row>
    <row r="185" spans="5:37" ht="13.5" hidden="1" thickBot="1">
      <c r="E185" s="1"/>
      <c r="F185" s="2" t="s">
        <v>159</v>
      </c>
      <c r="G185" s="30">
        <f>G184/(1+$G$30)^(1+G$151)</f>
        <v>4437567.460547275</v>
      </c>
      <c r="H185" s="30">
        <f aca="true" t="shared" si="53" ref="H185:AJ185">H184/(1+$G$30)^(1+H151)</f>
        <v>-180345.55232490585</v>
      </c>
      <c r="I185" s="30">
        <f t="shared" si="53"/>
        <v>-961.9914744023309</v>
      </c>
      <c r="J185" s="30">
        <f t="shared" si="53"/>
        <v>177951.34906309753</v>
      </c>
      <c r="K185" s="30">
        <f t="shared" si="53"/>
        <v>351764.0188075129</v>
      </c>
      <c r="L185" s="30">
        <f t="shared" si="53"/>
        <v>516585.166362023</v>
      </c>
      <c r="M185" s="159">
        <f t="shared" si="53"/>
        <v>681513.0340479219</v>
      </c>
      <c r="N185" s="159">
        <f t="shared" si="53"/>
        <v>852763.1119309262</v>
      </c>
      <c r="O185" s="159">
        <f t="shared" si="53"/>
        <v>1016509.5605439051</v>
      </c>
      <c r="P185" s="192">
        <f t="shared" si="53"/>
        <v>1177250.9231894852</v>
      </c>
      <c r="Q185" s="159">
        <f t="shared" si="53"/>
        <v>1333569.5227222666</v>
      </c>
      <c r="R185" s="159">
        <f t="shared" si="53"/>
        <v>1487102.77266413</v>
      </c>
      <c r="S185" s="159">
        <f t="shared" si="53"/>
        <v>1636264.5934592742</v>
      </c>
      <c r="T185" s="159">
        <f t="shared" si="53"/>
        <v>1777603.0271961316</v>
      </c>
      <c r="U185" s="192">
        <f t="shared" si="53"/>
        <v>1916782.2906948444</v>
      </c>
      <c r="V185" s="159">
        <f t="shared" si="53"/>
        <v>2052211.0020169863</v>
      </c>
      <c r="W185" s="159">
        <f t="shared" si="53"/>
        <v>2183537.8381144824</v>
      </c>
      <c r="X185" s="159">
        <f t="shared" si="53"/>
        <v>2311187.937871835</v>
      </c>
      <c r="Y185" s="159">
        <f t="shared" si="53"/>
        <v>2435547.7453072397</v>
      </c>
      <c r="Z185" s="192">
        <f t="shared" si="53"/>
        <v>2556967.6616933024</v>
      </c>
      <c r="AA185" s="159">
        <f t="shared" si="53"/>
        <v>2673049.922740297</v>
      </c>
      <c r="AB185" s="159">
        <f t="shared" si="53"/>
        <v>2785463.871330656</v>
      </c>
      <c r="AC185" s="159">
        <f t="shared" si="53"/>
        <v>2895587.3553391783</v>
      </c>
      <c r="AD185" s="159">
        <f t="shared" si="53"/>
        <v>3003343.5377785796</v>
      </c>
      <c r="AE185" s="165">
        <f t="shared" si="53"/>
        <v>3105158.5533913844</v>
      </c>
      <c r="AF185" s="159">
        <f t="shared" si="53"/>
        <v>3206519.511718199</v>
      </c>
      <c r="AG185" s="159">
        <f t="shared" si="53"/>
        <v>5751862.829645663</v>
      </c>
      <c r="AH185" s="159">
        <f t="shared" si="53"/>
        <v>6561099.041364368</v>
      </c>
      <c r="AI185" s="192">
        <f t="shared" si="53"/>
        <v>6561099.041364367</v>
      </c>
      <c r="AJ185" s="159">
        <f t="shared" si="53"/>
        <v>6561099.041364368</v>
      </c>
      <c r="AK185" s="165">
        <f>SUM(G185:AH185)</f>
        <v>58703456.09574166</v>
      </c>
    </row>
    <row r="186" spans="5:16" ht="12.75" hidden="1">
      <c r="E186" s="1"/>
      <c r="F186" s="2" t="s">
        <v>160</v>
      </c>
      <c r="G186" s="30">
        <f>G185</f>
        <v>4437567.460547275</v>
      </c>
      <c r="H186" s="30">
        <f aca="true" t="shared" si="54" ref="H186:P186">G186+H185</f>
        <v>4257221.908222369</v>
      </c>
      <c r="I186" s="30">
        <f t="shared" si="54"/>
        <v>4256259.916747967</v>
      </c>
      <c r="J186" s="30">
        <f t="shared" si="54"/>
        <v>4434211.265811064</v>
      </c>
      <c r="K186" s="30">
        <f t="shared" si="54"/>
        <v>4785975.284618577</v>
      </c>
      <c r="L186" s="30">
        <f t="shared" si="54"/>
        <v>5302560.4509806</v>
      </c>
      <c r="M186" s="159">
        <f t="shared" si="54"/>
        <v>5984073.485028522</v>
      </c>
      <c r="N186" s="159">
        <f t="shared" si="54"/>
        <v>6836836.596959448</v>
      </c>
      <c r="O186" s="159">
        <f t="shared" si="54"/>
        <v>7853346.157503353</v>
      </c>
      <c r="P186" s="159">
        <f t="shared" si="54"/>
        <v>9030597.080692839</v>
      </c>
    </row>
    <row r="187" spans="5:36" ht="12.75" hidden="1">
      <c r="E187" s="1"/>
      <c r="F187" s="2" t="s">
        <v>161</v>
      </c>
      <c r="G187" s="30" t="e">
        <f>#REF!/(1+$G$30)^(1+G$151)</f>
        <v>#REF!</v>
      </c>
      <c r="H187" s="30" t="e">
        <f>#REF!/(1+$G$30)^(1+H$151)</f>
        <v>#REF!</v>
      </c>
      <c r="I187" s="30" t="e">
        <f>#REF!/(1+$G$30)^(1+I$151)</f>
        <v>#REF!</v>
      </c>
      <c r="J187" s="30" t="e">
        <f>#REF!/(1+$G$30)^(1+J$151)</f>
        <v>#REF!</v>
      </c>
      <c r="K187" s="30" t="e">
        <f>#REF!/(1+$G$30)^(1+K$151)</f>
        <v>#REF!</v>
      </c>
      <c r="L187" s="30" t="e">
        <f>#REF!/(1+$G$30)^(1+L$151)</f>
        <v>#REF!</v>
      </c>
      <c r="M187" s="159" t="e">
        <f>#REF!/(1+$G$30)^(1+M$151)</f>
        <v>#REF!</v>
      </c>
      <c r="N187" s="159" t="e">
        <f>#REF!/(1+$G$30)^(1+N$151)</f>
        <v>#REF!</v>
      </c>
      <c r="O187" s="159" t="e">
        <f>#REF!/(1+$G$30)^(1+O$151)</f>
        <v>#REF!</v>
      </c>
      <c r="P187" s="159" t="e">
        <f>#REF!/(1+$G$30)^(1+P$151)</f>
        <v>#REF!</v>
      </c>
      <c r="Q187" s="159" t="e">
        <f>#REF!/(1+$G$30)^(1+Q$151)</f>
        <v>#REF!</v>
      </c>
      <c r="R187" s="159" t="e">
        <f>#REF!/(1+$G$30)^(1+R$151)</f>
        <v>#REF!</v>
      </c>
      <c r="S187" s="159" t="e">
        <f>#REF!/(1+$G$30)^(1+S$151)</f>
        <v>#REF!</v>
      </c>
      <c r="T187" s="159" t="e">
        <f>#REF!/(1+$G$30)^(1+T$151)</f>
        <v>#REF!</v>
      </c>
      <c r="U187" s="159" t="e">
        <f>#REF!/(1+$G$30)^(1+U$151)</f>
        <v>#REF!</v>
      </c>
      <c r="V187" s="159" t="e">
        <f>#REF!/(1+$G$30)^(1+V$151)</f>
        <v>#REF!</v>
      </c>
      <c r="W187" s="159" t="e">
        <f>#REF!/(1+$G$30)^(1+W$151)</f>
        <v>#REF!</v>
      </c>
      <c r="X187" s="159" t="e">
        <f>#REF!/(1+$G$30)^(1+X$151)</f>
        <v>#REF!</v>
      </c>
      <c r="Y187" s="159" t="e">
        <f>#REF!/(1+$G$30)^(1+Y$151)</f>
        <v>#REF!</v>
      </c>
      <c r="Z187" s="159" t="e">
        <f>#REF!/(1+$G$30)^(1+Z$151)</f>
        <v>#REF!</v>
      </c>
      <c r="AA187" s="159" t="e">
        <f>#REF!/(1+$G$30)^(1+AA$151)</f>
        <v>#REF!</v>
      </c>
      <c r="AB187" s="159" t="e">
        <f>#REF!/(1+$G$30)^(1+AB$151)</f>
        <v>#REF!</v>
      </c>
      <c r="AC187" s="159" t="e">
        <f>#REF!/(1+$G$30)^(1+AC$151)</f>
        <v>#REF!</v>
      </c>
      <c r="AD187" s="159" t="e">
        <f>#REF!/(1+$G$30)^(1+AD$151)</f>
        <v>#REF!</v>
      </c>
      <c r="AE187" s="159" t="e">
        <f>#REF!/(1+$G$30)^(1+AE$151)</f>
        <v>#REF!</v>
      </c>
      <c r="AF187" s="159" t="e">
        <f>#REF!/(1+$G$30)^(1+AF$151)</f>
        <v>#REF!</v>
      </c>
      <c r="AG187" s="159" t="e">
        <f>#REF!/(1+$G$30)^(1+AG$151)</f>
        <v>#REF!</v>
      </c>
      <c r="AH187" s="159" t="e">
        <f>#REF!/(1+$G$30)^(1+AH$151)</f>
        <v>#REF!</v>
      </c>
      <c r="AI187" s="159" t="e">
        <f>#REF!/(1+$G$30)^(1+AI$151)</f>
        <v>#REF!</v>
      </c>
      <c r="AJ187" s="159" t="e">
        <f>#REF!/(1+$G$30)^(1+AJ$151)</f>
        <v>#REF!</v>
      </c>
    </row>
    <row r="188" spans="5:36" ht="12.75" hidden="1">
      <c r="E188" s="1"/>
      <c r="F188" s="2"/>
      <c r="G188" s="30"/>
      <c r="H188" s="30"/>
      <c r="I188" s="30"/>
      <c r="J188" s="30"/>
      <c r="K188" s="30"/>
      <c r="L188" s="30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59"/>
    </row>
    <row r="189" spans="5:36" ht="12.75" hidden="1">
      <c r="E189" s="1"/>
      <c r="F189" s="2" t="s">
        <v>162</v>
      </c>
      <c r="G189" s="30" t="e">
        <f>G187</f>
        <v>#REF!</v>
      </c>
      <c r="H189" s="30" t="e">
        <f aca="true" t="shared" si="55" ref="H189:AJ189">G189+H187</f>
        <v>#REF!</v>
      </c>
      <c r="I189" s="30" t="e">
        <f t="shared" si="55"/>
        <v>#REF!</v>
      </c>
      <c r="J189" s="30" t="e">
        <f t="shared" si="55"/>
        <v>#REF!</v>
      </c>
      <c r="K189" s="30" t="e">
        <f t="shared" si="55"/>
        <v>#REF!</v>
      </c>
      <c r="L189" s="30" t="e">
        <f t="shared" si="55"/>
        <v>#REF!</v>
      </c>
      <c r="M189" s="159" t="e">
        <f t="shared" si="55"/>
        <v>#REF!</v>
      </c>
      <c r="N189" s="159" t="e">
        <f t="shared" si="55"/>
        <v>#REF!</v>
      </c>
      <c r="O189" s="159" t="e">
        <f t="shared" si="55"/>
        <v>#REF!</v>
      </c>
      <c r="P189" s="159" t="e">
        <f t="shared" si="55"/>
        <v>#REF!</v>
      </c>
      <c r="Q189" s="159" t="e">
        <f t="shared" si="55"/>
        <v>#REF!</v>
      </c>
      <c r="R189" s="159" t="e">
        <f t="shared" si="55"/>
        <v>#REF!</v>
      </c>
      <c r="S189" s="159" t="e">
        <f t="shared" si="55"/>
        <v>#REF!</v>
      </c>
      <c r="T189" s="159" t="e">
        <f t="shared" si="55"/>
        <v>#REF!</v>
      </c>
      <c r="U189" s="159" t="e">
        <f t="shared" si="55"/>
        <v>#REF!</v>
      </c>
      <c r="V189" s="159" t="e">
        <f t="shared" si="55"/>
        <v>#REF!</v>
      </c>
      <c r="W189" s="159" t="e">
        <f t="shared" si="55"/>
        <v>#REF!</v>
      </c>
      <c r="X189" s="159" t="e">
        <f t="shared" si="55"/>
        <v>#REF!</v>
      </c>
      <c r="Y189" s="159" t="e">
        <f t="shared" si="55"/>
        <v>#REF!</v>
      </c>
      <c r="Z189" s="159" t="e">
        <f t="shared" si="55"/>
        <v>#REF!</v>
      </c>
      <c r="AA189" s="159" t="e">
        <f t="shared" si="55"/>
        <v>#REF!</v>
      </c>
      <c r="AB189" s="159" t="e">
        <f t="shared" si="55"/>
        <v>#REF!</v>
      </c>
      <c r="AC189" s="159" t="e">
        <f t="shared" si="55"/>
        <v>#REF!</v>
      </c>
      <c r="AD189" s="159" t="e">
        <f t="shared" si="55"/>
        <v>#REF!</v>
      </c>
      <c r="AE189" s="159" t="e">
        <f t="shared" si="55"/>
        <v>#REF!</v>
      </c>
      <c r="AF189" s="159" t="e">
        <f t="shared" si="55"/>
        <v>#REF!</v>
      </c>
      <c r="AG189" s="159" t="e">
        <f t="shared" si="55"/>
        <v>#REF!</v>
      </c>
      <c r="AH189" s="159" t="e">
        <f t="shared" si="55"/>
        <v>#REF!</v>
      </c>
      <c r="AI189" s="159" t="e">
        <f t="shared" si="55"/>
        <v>#REF!</v>
      </c>
      <c r="AJ189" s="159" t="e">
        <f t="shared" si="55"/>
        <v>#REF!</v>
      </c>
    </row>
    <row r="190" spans="5:36" ht="12.75">
      <c r="E190" s="1"/>
      <c r="F190" s="2"/>
      <c r="G190" s="30"/>
      <c r="H190" s="30"/>
      <c r="I190" s="30"/>
      <c r="J190" s="30"/>
      <c r="K190" s="30"/>
      <c r="L190" s="30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</row>
    <row r="191" spans="5:36" ht="15.75">
      <c r="E191" s="1"/>
      <c r="F191" s="193" t="s">
        <v>163</v>
      </c>
      <c r="G191" s="194">
        <f>(G162-G167-G168-G169)/'[1]KC format'!$P$13</f>
        <v>-3.0910133589595827</v>
      </c>
      <c r="H191" s="194">
        <f>(H162-H167-H168-H169)/'[1]KC format'!$P$13</f>
        <v>20.2591042034748</v>
      </c>
      <c r="I191" s="194">
        <f>(I162-I167-I168-I169)/'[1]KC format'!$P$13</f>
        <v>20.12853713826832</v>
      </c>
      <c r="J191" s="194">
        <f>(J162-J167-J168-J169)/'[1]KC format'!$P$13</f>
        <v>19.97431773124454</v>
      </c>
      <c r="K191" s="194">
        <f>(K162-K167-K168-K169)/'[1]KC format'!$P$13</f>
        <v>19.81384978020449</v>
      </c>
      <c r="L191" s="194">
        <f>(L162-L167-L168-L169)/'[1]KC format'!$P$13</f>
        <v>19.66365641910546</v>
      </c>
      <c r="M191" s="195">
        <f>(M162-M167-M168-M169)/'[1]KC format'!$P$13</f>
        <v>19.48677583356235</v>
      </c>
      <c r="N191" s="195">
        <f>(N162-N167-N168-N169)/'[1]KC format'!$P$13</f>
        <v>19.318134403369612</v>
      </c>
      <c r="O191" s="195">
        <f>(O162-O167-O168-O169)/'[1]KC format'!$P$13</f>
        <v>19.155831299715537</v>
      </c>
      <c r="P191" s="195">
        <f>(P162-P167-P168-P169)/'[1]KC format'!$P$13</f>
        <v>18.980426550868504</v>
      </c>
      <c r="Q191" s="195">
        <f>(Q162-Q167-Q168-Q169)/'[1]KC format'!$P$13</f>
        <v>18.798514694278282</v>
      </c>
      <c r="R191" s="195">
        <f>(R162-R167-R168-R169)/'[1]KC format'!$P$13</f>
        <v>18.602394778865357</v>
      </c>
      <c r="S191" s="195">
        <f>(S162-S167-S168-S169)/'[1]KC format'!$P$13</f>
        <v>18.39987925210115</v>
      </c>
      <c r="T191" s="195">
        <f>(T162-T167-T168-T169)/'[1]KC format'!$P$13</f>
        <v>18.209559440089574</v>
      </c>
      <c r="U191" s="195">
        <f>(U162-U167-U168-U169)/'[1]KC format'!$P$13</f>
        <v>18.002940814967655</v>
      </c>
      <c r="V191" s="195">
        <f>(V162-V167-V168-V169)/'[1]KC format'!$P$13</f>
        <v>17.788434160605963</v>
      </c>
      <c r="W191" s="195">
        <f>(W162-W167-W168-W169)/'[1]KC format'!$P$13</f>
        <v>17.568395344807865</v>
      </c>
      <c r="X191" s="195">
        <f>(X162-X167-X168-X169)/'[1]KC format'!$P$13</f>
        <v>17.340878628424715</v>
      </c>
      <c r="Y191" s="195">
        <f>(Y162-Y167-Y168-Y169)/'[1]KC format'!$P$13</f>
        <v>17.103932504300065</v>
      </c>
      <c r="Z191" s="195">
        <f>(Z162-Z167-Z168-Z169)/'[1]KC format'!$P$13</f>
        <v>16.855599524229465</v>
      </c>
      <c r="AA191" s="195">
        <f>(AA162-AA167-AA168-AA169)/'[1]KC format'!$P$13</f>
        <v>16.611450842951186</v>
      </c>
      <c r="AB191" s="195">
        <f>(AB162-AB167-AB168-AB169)/'[1]KC format'!$P$13</f>
        <v>16.361888985956774</v>
      </c>
      <c r="AC191" s="195">
        <f>(AC162-AC167-AC168-AC169)/'[1]KC format'!$P$13</f>
        <v>16.098099049294206</v>
      </c>
      <c r="AD191" s="195">
        <f>(AD162-AD167-AD168-AD169)/'[1]KC format'!$P$13</f>
        <v>15.820465171476203</v>
      </c>
      <c r="AE191" s="195">
        <f>(AE162-AE167-AE168-AE169)/'[1]KC format'!$P$13</f>
        <v>15.554877624545878</v>
      </c>
      <c r="AF191" s="195">
        <f>(AF162-AF167-AF168-AF169)/'[1]KC format'!$P$13</f>
        <v>15.262516461624312</v>
      </c>
      <c r="AG191" s="195">
        <f>(AG162-AG167-AG168-AG169)/'[1]KC format'!$P$13</f>
        <v>-3.9113550150607446</v>
      </c>
      <c r="AH191" s="195">
        <f>(AH162-AH167-AH168-AH169)/'[1]KC format'!$P$13</f>
        <v>-10.45742457176257</v>
      </c>
      <c r="AI191" s="195">
        <f>(AI162-AI167-AI168-AI169)/'[1]KC format'!$P$13</f>
        <v>-10.771147308915445</v>
      </c>
      <c r="AJ191" s="195">
        <f>(AJ162-AJ167-AJ168-AJ169)/'[1]KC format'!$P$13</f>
        <v>-11.094281728182914</v>
      </c>
    </row>
    <row r="192" spans="5:36" ht="15.75">
      <c r="E192" s="1"/>
      <c r="F192" s="2" t="s">
        <v>164</v>
      </c>
      <c r="G192" s="196">
        <f>(G165+G166)/'[1]KC format'!$P$13</f>
        <v>12.779453600636575</v>
      </c>
      <c r="H192" s="196">
        <f>(H165+H166)/'[1]KC format'!$P$13</f>
        <v>19.594768799094616</v>
      </c>
      <c r="I192" s="196">
        <f>(I165+I166)/'[1]KC format'!$P$13</f>
        <v>20.12488715890079</v>
      </c>
      <c r="J192" s="196">
        <f>(J165+J166)/'[1]KC format'!$P$13</f>
        <v>20.66975457541781</v>
      </c>
      <c r="K192" s="196">
        <f>(K165+K166)/'[1]KC format'!$P$13</f>
        <v>21.22979043046535</v>
      </c>
      <c r="L192" s="196">
        <f>(L165+L166)/'[1]KC format'!$P$13</f>
        <v>21.80542622552001</v>
      </c>
      <c r="M192" s="197">
        <f>(M165+M166)/'[1]KC format'!$P$13</f>
        <v>22.39710593606912</v>
      </c>
      <c r="N192" s="197">
        <f>(N165+N166)/'[1]KC format'!$P$13</f>
        <v>23.069019114151196</v>
      </c>
      <c r="O192" s="197">
        <f>(O165+O166)/'[1]KC format'!$P$13</f>
        <v>23.761089687575733</v>
      </c>
      <c r="P192" s="197">
        <f>(P165+P166)/'[1]KC format'!$P$13</f>
        <v>24.47392237820301</v>
      </c>
      <c r="Q192" s="197">
        <f>(Q165+Q166)/'[1]KC format'!$P$13</f>
        <v>25.208140049549097</v>
      </c>
      <c r="R192" s="197">
        <f>(R165+R166)/'[1]KC format'!$P$13</f>
        <v>25.96438425103557</v>
      </c>
      <c r="S192" s="197">
        <f>(S165+S166)/'[1]KC format'!$P$13</f>
        <v>26.743315778566643</v>
      </c>
      <c r="T192" s="197">
        <f>(T165+T166)/'[1]KC format'!$P$13</f>
        <v>27.54561525192364</v>
      </c>
      <c r="U192" s="197">
        <f>(U165+U166)/'[1]KC format'!$P$13</f>
        <v>28.371983709481345</v>
      </c>
      <c r="V192" s="197">
        <f>(V165+V166)/'[1]KC format'!$P$13</f>
        <v>29.223143220765795</v>
      </c>
      <c r="W192" s="197">
        <f>(W165+W166)/'[1]KC format'!$P$13</f>
        <v>30.099837517388767</v>
      </c>
      <c r="X192" s="197">
        <f>(X165+X166)/'[1]KC format'!$P$13</f>
        <v>31.002832642910434</v>
      </c>
      <c r="Y192" s="197">
        <f>(Y165+Y166)/'[1]KC format'!$P$13</f>
        <v>31.932917622197735</v>
      </c>
      <c r="Z192" s="197">
        <f>(Z165+Z166)/'[1]KC format'!$P$13</f>
        <v>32.890905150863674</v>
      </c>
      <c r="AA192" s="197">
        <f>(AA165+AA166)/'[1]KC format'!$P$13</f>
        <v>33.87763230538959</v>
      </c>
      <c r="AB192" s="197">
        <f>(AB165+AB166)/'[1]KC format'!$P$13</f>
        <v>34.89396127455128</v>
      </c>
      <c r="AC192" s="197">
        <f>(AC165+AC166)/'[1]KC format'!$P$13</f>
        <v>35.94078011278781</v>
      </c>
      <c r="AD192" s="197">
        <f>(AD165+AD166)/'[1]KC format'!$P$13</f>
        <v>37.019003516171445</v>
      </c>
      <c r="AE192" s="197">
        <f>(AE165+AE166)/'[1]KC format'!$P$13</f>
        <v>38.12957362165659</v>
      </c>
      <c r="AF192" s="197">
        <f>(AF165+AF166)/'[1]KC format'!$P$13</f>
        <v>39.27346083030628</v>
      </c>
      <c r="AG192" s="197">
        <f>(AG165+AG166)/'[1]KC format'!$P$13</f>
        <v>40.45166465521549</v>
      </c>
      <c r="AH192" s="197">
        <f>(AH165+AH166)/'[1]KC format'!$P$13</f>
        <v>41.665214594871955</v>
      </c>
      <c r="AI192" s="197">
        <f>(AI165+AI166)/'[1]KC format'!$P$13</f>
        <v>42.9151710327181</v>
      </c>
      <c r="AJ192" s="197">
        <f>(AJ165+AJ166)/'[1]KC format'!$P$13</f>
        <v>44.20262616369965</v>
      </c>
    </row>
    <row r="193" spans="5:36" ht="15.75" hidden="1">
      <c r="E193" s="1"/>
      <c r="F193" s="2" t="s">
        <v>165</v>
      </c>
      <c r="G193" s="196">
        <f>(G165+G166+G181)/'[1]KC format'!$P$13</f>
        <v>8.568471972860422</v>
      </c>
      <c r="H193" s="196">
        <f>(H165+H166+H181)/'[1]KC format'!$P$13</f>
        <v>15.324773729429623</v>
      </c>
      <c r="I193" s="196">
        <f>(I165+I166+I181)/'[1]KC format'!$P$13</f>
        <v>15.34020105659029</v>
      </c>
      <c r="J193" s="196">
        <f>(J165+J166+J181)/'[1]KC format'!$P$13</f>
        <v>15.885623844899111</v>
      </c>
      <c r="K193" s="196">
        <f>(K165+K166+K181)/'[1]KC format'!$P$13</f>
        <v>16.32783709747553</v>
      </c>
      <c r="L193" s="196">
        <f>(L165+L166+L181)/'[1]KC format'!$P$13</f>
        <v>16.328208424484938</v>
      </c>
      <c r="M193" s="197">
        <f>(M165+M166+M181)/'[1]KC format'!$P$13</f>
        <v>16.323209118364108</v>
      </c>
      <c r="N193" s="197">
        <f>(N165+N166+N181)/'[1]KC format'!$P$13</f>
        <v>23.069019114151196</v>
      </c>
      <c r="O193" s="197">
        <f>(O165+O166+O181)/'[1]KC format'!$P$13</f>
        <v>23.761089687575733</v>
      </c>
      <c r="P193" s="197">
        <f>(P165+P166+P181)/'[1]KC format'!$P$13</f>
        <v>24.47392237820301</v>
      </c>
      <c r="Q193" s="197">
        <f>(Q165+Q166+Q181)/'[1]KC format'!$P$13</f>
        <v>25.208140049549097</v>
      </c>
      <c r="R193" s="197">
        <f>(R165+R166+R181)/'[1]KC format'!$P$13</f>
        <v>25.96438425103557</v>
      </c>
      <c r="S193" s="197">
        <f>(S165+S166+S181)/'[1]KC format'!$P$13</f>
        <v>26.743315778566643</v>
      </c>
      <c r="T193" s="197">
        <f>(T165+T166+T181)/'[1]KC format'!$P$13</f>
        <v>27.54561525192364</v>
      </c>
      <c r="U193" s="197">
        <f>(U165+U166+U181)/'[1]KC format'!$P$13</f>
        <v>28.371983709481345</v>
      </c>
      <c r="V193" s="197">
        <f>(V165+V166+V181)/'[1]KC format'!$P$13</f>
        <v>29.223143220765795</v>
      </c>
      <c r="W193" s="197">
        <f>(W165+W166+W181)/'[1]KC format'!$P$13</f>
        <v>30.099837517388767</v>
      </c>
      <c r="X193" s="197">
        <f>(X165+X166+X181)/'[1]KC format'!$P$13</f>
        <v>31.002832642910434</v>
      </c>
      <c r="Y193" s="197">
        <f>(Y165+Y166+Y181)/'[1]KC format'!$P$13</f>
        <v>31.932917622197735</v>
      </c>
      <c r="Z193" s="197">
        <f>(Z165+Z166+Z181)/'[1]KC format'!$P$13</f>
        <v>32.890905150863674</v>
      </c>
      <c r="AA193" s="197">
        <f>(AA165+AA166+AA181)/'[1]KC format'!$P$13</f>
        <v>33.87763230538959</v>
      </c>
      <c r="AB193" s="197">
        <f>(AB165+AB166+AB181)/'[1]KC format'!$P$13</f>
        <v>34.89396127455128</v>
      </c>
      <c r="AC193" s="197">
        <f>(AC165+AC166+AC181)/'[1]KC format'!$P$13</f>
        <v>35.94078011278781</v>
      </c>
      <c r="AD193" s="197">
        <f>(AD165+AD166+AD181)/'[1]KC format'!$P$13</f>
        <v>37.019003516171445</v>
      </c>
      <c r="AE193" s="197">
        <f>(AE165+AE166+AE181)/'[1]KC format'!$P$13</f>
        <v>38.12957362165659</v>
      </c>
      <c r="AF193" s="197">
        <f>(AF165+AF166+AF181)/'[1]KC format'!$P$13</f>
        <v>39.27346083030628</v>
      </c>
      <c r="AG193" s="197">
        <f>(AG165+AG166+AG181)/'[1]KC format'!$P$13</f>
        <v>40.45166465521549</v>
      </c>
      <c r="AH193" s="197">
        <f>(AH165+AH166+AH181)/'[1]KC format'!$P$13</f>
        <v>41.665214594871955</v>
      </c>
      <c r="AI193" s="197">
        <f>(AI165+AI166+AI181)/'[1]KC format'!$P$13</f>
        <v>42.9151710327181</v>
      </c>
      <c r="AJ193" s="197">
        <f>(AJ165+AJ166+AJ181)/'[1]KC format'!$P$13</f>
        <v>44.20262616369965</v>
      </c>
    </row>
    <row r="194" spans="5:36" ht="15.75" hidden="1">
      <c r="E194" s="1"/>
      <c r="F194" s="2" t="s">
        <v>166</v>
      </c>
      <c r="G194" s="198">
        <v>11.484156513734812</v>
      </c>
      <c r="H194" s="198">
        <v>11.996322618596933</v>
      </c>
      <c r="I194" s="198">
        <v>11.81720037305334</v>
      </c>
      <c r="J194" s="198">
        <v>12.313858548669874</v>
      </c>
      <c r="K194" s="198">
        <v>12.79562706457329</v>
      </c>
      <c r="L194" s="198">
        <v>12.585195302402239</v>
      </c>
      <c r="M194" s="199">
        <v>12.363694675442364</v>
      </c>
      <c r="N194" s="199">
        <v>24.464497196798337</v>
      </c>
      <c r="O194" s="199">
        <v>25.198432112702292</v>
      </c>
      <c r="P194" s="199">
        <v>25.954385076083362</v>
      </c>
      <c r="Q194" s="199">
        <v>26.733016628365863</v>
      </c>
      <c r="R194" s="199">
        <v>27.535007127216836</v>
      </c>
      <c r="S194" s="199">
        <v>28.36105734103334</v>
      </c>
      <c r="T194" s="199">
        <v>29.211889061264344</v>
      </c>
      <c r="U194" s="199">
        <v>30.088245733102273</v>
      </c>
      <c r="V194" s="199">
        <v>30.99089310509535</v>
      </c>
      <c r="W194" s="199">
        <v>31.920619898248212</v>
      </c>
      <c r="X194" s="199">
        <v>33.516650893160616</v>
      </c>
      <c r="Y194" s="199">
        <v>34.52215041995544</v>
      </c>
      <c r="Z194" s="199">
        <v>35.5578149325541</v>
      </c>
      <c r="AA194" s="199">
        <v>36.62454938053072</v>
      </c>
      <c r="AB194" s="199">
        <v>37.72328586194665</v>
      </c>
      <c r="AC194" s="199">
        <v>0</v>
      </c>
      <c r="AD194" s="199">
        <v>0</v>
      </c>
      <c r="AE194" s="199">
        <v>0</v>
      </c>
      <c r="AF194" s="199">
        <v>0</v>
      </c>
      <c r="AG194" s="199">
        <v>0</v>
      </c>
      <c r="AH194" s="199">
        <v>0</v>
      </c>
      <c r="AI194" s="199">
        <v>0</v>
      </c>
      <c r="AJ194" s="199">
        <v>0</v>
      </c>
    </row>
    <row r="195" spans="5:36" ht="15.75">
      <c r="E195" s="1"/>
      <c r="F195" s="2"/>
      <c r="G195" s="198"/>
      <c r="H195" s="198"/>
      <c r="I195" s="198"/>
      <c r="J195" s="198"/>
      <c r="K195" s="198"/>
      <c r="L195" s="198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199"/>
    </row>
    <row r="196" spans="5:36" ht="15.75">
      <c r="E196" s="1"/>
      <c r="F196" s="4" t="s">
        <v>167</v>
      </c>
      <c r="G196" s="194">
        <f>(G155+G156)/'[1]KC format'!$P$13</f>
        <v>0</v>
      </c>
      <c r="H196" s="194">
        <f>(H155+H156)/'[1]KC format'!$P$13</f>
        <v>24.509461805555556</v>
      </c>
      <c r="I196" s="194">
        <f>(I155+I156)/'[1]KC format'!$P$13</f>
        <v>24.52421875</v>
      </c>
      <c r="J196" s="194">
        <f>(J155+J156)/'[1]KC format'!$P$13</f>
        <v>24.51987847222222</v>
      </c>
      <c r="K196" s="194">
        <f>(K155+K156)/'[1]KC format'!$P$13</f>
        <v>24.513802083333335</v>
      </c>
      <c r="L196" s="194">
        <f>(L155+L156)/'[1]KC format'!$P$13</f>
        <v>24.52248263888889</v>
      </c>
      <c r="M196" s="194">
        <f>(M155+M156)/'[1]KC format'!$P$13</f>
        <v>24.509461805555556</v>
      </c>
      <c r="N196" s="194">
        <f>(N155+N156)/'[1]KC format'!$P$13</f>
        <v>24.509461805555556</v>
      </c>
      <c r="O196" s="194">
        <f>(O155+O156)/'[1]KC format'!$P$13</f>
        <v>24.520746527777778</v>
      </c>
      <c r="P196" s="194">
        <f>(P155+P156)/'[1]KC format'!$P$13</f>
        <v>24.52421875</v>
      </c>
      <c r="Q196" s="194">
        <f>(Q155+Q156)/'[1]KC format'!$P$13</f>
        <v>24.5265625</v>
      </c>
      <c r="R196" s="194">
        <f>(R155+R156)/'[1]KC format'!$P$13</f>
        <v>24.5203125</v>
      </c>
      <c r="S196" s="194">
        <f>(S155+S156)/'[1]KC format'!$P$13</f>
        <v>24.513368055555556</v>
      </c>
      <c r="T196" s="194">
        <f>(T155+T156)/'[1]KC format'!$P$13</f>
        <v>24.524305555555557</v>
      </c>
      <c r="U196" s="194">
        <f>(U155+U156)/'[1]KC format'!$P$13</f>
        <v>24.525086805555556</v>
      </c>
      <c r="V196" s="194">
        <f>(V155+V156)/'[1]KC format'!$P$13</f>
        <v>24.52421875</v>
      </c>
      <c r="W196" s="194">
        <f>(W155+W156)/'[1]KC format'!$P$13</f>
        <v>24.52421875</v>
      </c>
      <c r="X196" s="194">
        <f>(X155+X156)/'[1]KC format'!$P$13</f>
        <v>24.523350694444446</v>
      </c>
      <c r="Y196" s="194">
        <f>(Y155+Y156)/'[1]KC format'!$P$13</f>
        <v>24.51987847222222</v>
      </c>
      <c r="Z196" s="194">
        <f>(Z155+Z156)/'[1]KC format'!$P$13</f>
        <v>24.51206597222222</v>
      </c>
      <c r="AA196" s="194">
        <f>(AA155+AA156)/'[1]KC format'!$P$13</f>
        <v>24.515538194444446</v>
      </c>
      <c r="AB196" s="194">
        <f>(AB155+AB156)/'[1]KC format'!$P$13</f>
        <v>24.521006944444444</v>
      </c>
      <c r="AC196" s="194">
        <f>(AC155+AC156)/'[1]KC format'!$P$13</f>
        <v>24.51996527777778</v>
      </c>
      <c r="AD196" s="194">
        <f>(AD155+AD156)/'[1]KC format'!$P$13</f>
        <v>24.513020833333332</v>
      </c>
      <c r="AE196" s="194">
        <f>(AE155+AE156)/'[1]KC format'!$P$13</f>
        <v>24.526041666666668</v>
      </c>
      <c r="AF196" s="194">
        <f>(AF155+AF156)/'[1]KC format'!$P$13</f>
        <v>24.520833333333332</v>
      </c>
      <c r="AG196" s="194">
        <f>(AG155+AG156)/'[1]KC format'!$P$13</f>
        <v>6.1796875</v>
      </c>
      <c r="AH196" s="194">
        <f>(AH155+AH156)/'[1]KC format'!$P$13</f>
        <v>0</v>
      </c>
      <c r="AI196" s="194">
        <f>(AI155+AI156)/'[1]KC format'!$P$13</f>
        <v>0</v>
      </c>
      <c r="AJ196" s="194">
        <f>(AJ155+AJ156)/'[1]KC format'!$P$13</f>
        <v>0</v>
      </c>
    </row>
    <row r="197" spans="5:36" ht="12.75">
      <c r="E197" s="200"/>
      <c r="F197" s="201"/>
      <c r="G197" s="202">
        <f aca="true" t="shared" si="56" ref="G197:AJ197">G155+G156</f>
        <v>0</v>
      </c>
      <c r="H197" s="202">
        <f t="shared" si="56"/>
        <v>7058725</v>
      </c>
      <c r="I197" s="202">
        <f t="shared" si="56"/>
        <v>7062975</v>
      </c>
      <c r="J197" s="202">
        <f t="shared" si="56"/>
        <v>7061725</v>
      </c>
      <c r="K197" s="202">
        <f t="shared" si="56"/>
        <v>7059975</v>
      </c>
      <c r="L197" s="202">
        <f t="shared" si="56"/>
        <v>7062475</v>
      </c>
      <c r="M197" s="202">
        <f t="shared" si="56"/>
        <v>7058725</v>
      </c>
      <c r="N197" s="202">
        <f t="shared" si="56"/>
        <v>7058725</v>
      </c>
      <c r="O197" s="202">
        <f t="shared" si="56"/>
        <v>7061975</v>
      </c>
      <c r="P197" s="202">
        <f t="shared" si="56"/>
        <v>7062975</v>
      </c>
      <c r="Q197" s="202">
        <f t="shared" si="56"/>
        <v>7063650</v>
      </c>
      <c r="R197" s="202">
        <f t="shared" si="56"/>
        <v>7061850</v>
      </c>
      <c r="S197" s="202">
        <f t="shared" si="56"/>
        <v>7059850</v>
      </c>
      <c r="T197" s="202">
        <f t="shared" si="56"/>
        <v>7063000</v>
      </c>
      <c r="U197" s="202">
        <f t="shared" si="56"/>
        <v>7063225</v>
      </c>
      <c r="V197" s="202">
        <f t="shared" si="56"/>
        <v>7062975</v>
      </c>
      <c r="W197" s="202">
        <f t="shared" si="56"/>
        <v>7062975</v>
      </c>
      <c r="X197" s="202">
        <f t="shared" si="56"/>
        <v>7062725</v>
      </c>
      <c r="Y197" s="202">
        <f t="shared" si="56"/>
        <v>7061725</v>
      </c>
      <c r="Z197" s="202">
        <f t="shared" si="56"/>
        <v>7059475</v>
      </c>
      <c r="AA197" s="202">
        <f t="shared" si="56"/>
        <v>7060475</v>
      </c>
      <c r="AB197" s="202">
        <f t="shared" si="56"/>
        <v>7062050</v>
      </c>
      <c r="AC197" s="202">
        <f t="shared" si="56"/>
        <v>7061750</v>
      </c>
      <c r="AD197" s="202">
        <f t="shared" si="56"/>
        <v>7059750</v>
      </c>
      <c r="AE197" s="202">
        <f t="shared" si="56"/>
        <v>7063500</v>
      </c>
      <c r="AF197" s="202">
        <f t="shared" si="56"/>
        <v>7062000</v>
      </c>
      <c r="AG197" s="202">
        <f t="shared" si="56"/>
        <v>1779750</v>
      </c>
      <c r="AH197" s="202">
        <f t="shared" si="56"/>
        <v>0</v>
      </c>
      <c r="AI197" s="202">
        <f t="shared" si="56"/>
        <v>0</v>
      </c>
      <c r="AJ197" s="202">
        <f t="shared" si="56"/>
        <v>0</v>
      </c>
    </row>
    <row r="198" spans="5:67" s="207" customFormat="1" ht="12.75">
      <c r="E198" s="203"/>
      <c r="F198" s="204"/>
      <c r="G198" s="205">
        <f>G197/'[1]KC format'!Q99</f>
        <v>0</v>
      </c>
      <c r="H198" s="204"/>
      <c r="I198" s="204"/>
      <c r="J198" s="204"/>
      <c r="K198" s="204"/>
      <c r="L198" s="204"/>
      <c r="M198" s="206"/>
      <c r="N198" s="206"/>
      <c r="O198" s="206"/>
      <c r="P198" s="206"/>
      <c r="Q198" s="206"/>
      <c r="R198" s="206"/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  <c r="AC198" s="206"/>
      <c r="AD198" s="206"/>
      <c r="AE198" s="206"/>
      <c r="AF198" s="206"/>
      <c r="AG198" s="206"/>
      <c r="AH198" s="206"/>
      <c r="AI198" s="206"/>
      <c r="AJ198" s="206"/>
      <c r="AK198" s="206"/>
      <c r="AL198" s="206"/>
      <c r="AM198" s="206"/>
      <c r="AN198" s="206"/>
      <c r="AO198" s="206"/>
      <c r="AP198" s="206"/>
      <c r="AQ198" s="206"/>
      <c r="AR198" s="206"/>
      <c r="AS198" s="206"/>
      <c r="AT198" s="206"/>
      <c r="AU198" s="206"/>
      <c r="AV198" s="206"/>
      <c r="AW198" s="206"/>
      <c r="AX198" s="206"/>
      <c r="AY198" s="206"/>
      <c r="AZ198" s="206"/>
      <c r="BA198" s="206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</row>
    <row r="199" spans="6:67" s="207" customFormat="1" ht="12.75">
      <c r="F199" s="208">
        <f>G199*'[1]KC format'!Q99</f>
        <v>6586305.131441238</v>
      </c>
      <c r="G199" s="205">
        <f>'[1]Summary comparison on financing'!K23</f>
        <v>0.06482355062661369</v>
      </c>
      <c r="H199" s="209">
        <f>F199/'[1]KC format'!Q13</f>
        <v>23.170655374249744</v>
      </c>
      <c r="I199" s="210" t="s">
        <v>168</v>
      </c>
      <c r="J199" s="210"/>
      <c r="K199" s="210"/>
      <c r="L199" s="210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06"/>
      <c r="AL199" s="206"/>
      <c r="AM199" s="206"/>
      <c r="AN199" s="206"/>
      <c r="AO199" s="206"/>
      <c r="AP199" s="206"/>
      <c r="AQ199" s="206"/>
      <c r="AR199" s="206"/>
      <c r="AS199" s="206"/>
      <c r="AT199" s="206"/>
      <c r="AU199" s="206"/>
      <c r="AV199" s="206"/>
      <c r="AW199" s="206"/>
      <c r="AX199" s="206"/>
      <c r="AY199" s="206"/>
      <c r="AZ199" s="206"/>
      <c r="BA199" s="206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</row>
    <row r="200" spans="5:36" ht="12.75">
      <c r="E200" s="156">
        <f>E209/921</f>
        <v>38110.74918566775</v>
      </c>
      <c r="F200" s="212" t="s">
        <v>169</v>
      </c>
      <c r="G200" s="30"/>
      <c r="H200" s="30"/>
      <c r="I200" s="30"/>
      <c r="J200" s="30"/>
      <c r="K200" s="30"/>
      <c r="L200" s="30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</row>
    <row r="201" spans="5:36" ht="12.75">
      <c r="E201" s="156" t="s">
        <v>170</v>
      </c>
      <c r="F201" s="212"/>
      <c r="G201" s="2">
        <v>1</v>
      </c>
      <c r="H201" s="25">
        <f aca="true" t="shared" si="57" ref="H201:AJ201">G201+1</f>
        <v>2</v>
      </c>
      <c r="I201" s="25">
        <f t="shared" si="57"/>
        <v>3</v>
      </c>
      <c r="J201" s="25">
        <f t="shared" si="57"/>
        <v>4</v>
      </c>
      <c r="K201" s="25">
        <f t="shared" si="57"/>
        <v>5</v>
      </c>
      <c r="L201" s="25">
        <f t="shared" si="57"/>
        <v>6</v>
      </c>
      <c r="M201" s="154">
        <f t="shared" si="57"/>
        <v>7</v>
      </c>
      <c r="N201" s="154">
        <f t="shared" si="57"/>
        <v>8</v>
      </c>
      <c r="O201" s="154">
        <f t="shared" si="57"/>
        <v>9</v>
      </c>
      <c r="P201" s="154">
        <f t="shared" si="57"/>
        <v>10</v>
      </c>
      <c r="Q201" s="154">
        <f t="shared" si="57"/>
        <v>11</v>
      </c>
      <c r="R201" s="154">
        <f t="shared" si="57"/>
        <v>12</v>
      </c>
      <c r="S201" s="154">
        <f t="shared" si="57"/>
        <v>13</v>
      </c>
      <c r="T201" s="154">
        <f t="shared" si="57"/>
        <v>14</v>
      </c>
      <c r="U201" s="154">
        <f t="shared" si="57"/>
        <v>15</v>
      </c>
      <c r="V201" s="154">
        <f t="shared" si="57"/>
        <v>16</v>
      </c>
      <c r="W201" s="154">
        <f t="shared" si="57"/>
        <v>17</v>
      </c>
      <c r="X201" s="154">
        <f t="shared" si="57"/>
        <v>18</v>
      </c>
      <c r="Y201" s="154">
        <f t="shared" si="57"/>
        <v>19</v>
      </c>
      <c r="Z201" s="154">
        <f t="shared" si="57"/>
        <v>20</v>
      </c>
      <c r="AA201" s="154">
        <f t="shared" si="57"/>
        <v>21</v>
      </c>
      <c r="AB201" s="154">
        <f t="shared" si="57"/>
        <v>22</v>
      </c>
      <c r="AC201" s="154">
        <f t="shared" si="57"/>
        <v>23</v>
      </c>
      <c r="AD201" s="154">
        <f t="shared" si="57"/>
        <v>24</v>
      </c>
      <c r="AE201" s="154">
        <f t="shared" si="57"/>
        <v>25</v>
      </c>
      <c r="AF201" s="154">
        <f t="shared" si="57"/>
        <v>26</v>
      </c>
      <c r="AG201" s="154">
        <f t="shared" si="57"/>
        <v>27</v>
      </c>
      <c r="AH201" s="154">
        <f t="shared" si="57"/>
        <v>28</v>
      </c>
      <c r="AI201" s="154">
        <f t="shared" si="57"/>
        <v>29</v>
      </c>
      <c r="AJ201" s="154">
        <f t="shared" si="57"/>
        <v>30</v>
      </c>
    </row>
    <row r="202" spans="5:36" ht="13.5" thickBot="1">
      <c r="E202" s="167"/>
      <c r="F202" s="212"/>
      <c r="G202" s="2">
        <v>2007</v>
      </c>
      <c r="H202" s="2">
        <f aca="true" t="shared" si="58" ref="H202:AJ202">G202+1</f>
        <v>2008</v>
      </c>
      <c r="I202" s="2">
        <f t="shared" si="58"/>
        <v>2009</v>
      </c>
      <c r="J202" s="2">
        <f t="shared" si="58"/>
        <v>2010</v>
      </c>
      <c r="K202" s="2">
        <f t="shared" si="58"/>
        <v>2011</v>
      </c>
      <c r="L202" s="2">
        <f t="shared" si="58"/>
        <v>2012</v>
      </c>
      <c r="M202" s="5">
        <f t="shared" si="58"/>
        <v>2013</v>
      </c>
      <c r="N202" s="5">
        <f t="shared" si="58"/>
        <v>2014</v>
      </c>
      <c r="O202" s="5">
        <f t="shared" si="58"/>
        <v>2015</v>
      </c>
      <c r="P202" s="5">
        <f t="shared" si="58"/>
        <v>2016</v>
      </c>
      <c r="Q202" s="5">
        <f t="shared" si="58"/>
        <v>2017</v>
      </c>
      <c r="R202" s="5">
        <f t="shared" si="58"/>
        <v>2018</v>
      </c>
      <c r="S202" s="5">
        <f t="shared" si="58"/>
        <v>2019</v>
      </c>
      <c r="T202" s="5">
        <f t="shared" si="58"/>
        <v>2020</v>
      </c>
      <c r="U202" s="5">
        <f t="shared" si="58"/>
        <v>2021</v>
      </c>
      <c r="V202" s="5">
        <f t="shared" si="58"/>
        <v>2022</v>
      </c>
      <c r="W202" s="5">
        <f t="shared" si="58"/>
        <v>2023</v>
      </c>
      <c r="X202" s="5">
        <f t="shared" si="58"/>
        <v>2024</v>
      </c>
      <c r="Y202" s="5">
        <f t="shared" si="58"/>
        <v>2025</v>
      </c>
      <c r="Z202" s="5">
        <f t="shared" si="58"/>
        <v>2026</v>
      </c>
      <c r="AA202" s="5">
        <f t="shared" si="58"/>
        <v>2027</v>
      </c>
      <c r="AB202" s="5">
        <f t="shared" si="58"/>
        <v>2028</v>
      </c>
      <c r="AC202" s="5">
        <f t="shared" si="58"/>
        <v>2029</v>
      </c>
      <c r="AD202" s="5">
        <f t="shared" si="58"/>
        <v>2030</v>
      </c>
      <c r="AE202" s="5">
        <f t="shared" si="58"/>
        <v>2031</v>
      </c>
      <c r="AF202" s="5">
        <f t="shared" si="58"/>
        <v>2032</v>
      </c>
      <c r="AG202" s="5">
        <f t="shared" si="58"/>
        <v>2033</v>
      </c>
      <c r="AH202" s="5">
        <f t="shared" si="58"/>
        <v>2034</v>
      </c>
      <c r="AI202" s="5">
        <f t="shared" si="58"/>
        <v>2035</v>
      </c>
      <c r="AJ202" s="5">
        <f t="shared" si="58"/>
        <v>2036</v>
      </c>
    </row>
    <row r="203" spans="5:36" ht="13.5" thickBot="1">
      <c r="E203" s="213">
        <f>ROUND(NPV($G$31,G203:AH203),-5)</f>
        <v>12700000</v>
      </c>
      <c r="F203" s="212" t="s">
        <v>171</v>
      </c>
      <c r="G203" s="25">
        <f aca="true" t="shared" si="59" ref="G203:AJ203">$G$7*(G155+G156)</f>
        <v>0</v>
      </c>
      <c r="H203" s="25">
        <f t="shared" si="59"/>
        <v>1278313.1305338934</v>
      </c>
      <c r="I203" s="25">
        <f t="shared" si="59"/>
        <v>1279082.7923077645</v>
      </c>
      <c r="J203" s="25">
        <f t="shared" si="59"/>
        <v>1278856.4211978025</v>
      </c>
      <c r="K203" s="25">
        <f t="shared" si="59"/>
        <v>1278539.5016438556</v>
      </c>
      <c r="L203" s="25">
        <f t="shared" si="59"/>
        <v>1278992.2438637798</v>
      </c>
      <c r="M203" s="154">
        <f t="shared" si="59"/>
        <v>1278313.1305338934</v>
      </c>
      <c r="N203" s="154">
        <f t="shared" si="59"/>
        <v>1278313.1305338934</v>
      </c>
      <c r="O203" s="154">
        <f t="shared" si="59"/>
        <v>1278901.6954197949</v>
      </c>
      <c r="P203" s="154">
        <f t="shared" si="59"/>
        <v>1279082.7923077645</v>
      </c>
      <c r="Q203" s="154">
        <f t="shared" si="59"/>
        <v>1279205.032707144</v>
      </c>
      <c r="R203" s="154">
        <f t="shared" si="59"/>
        <v>1278879.0583087986</v>
      </c>
      <c r="S203" s="154">
        <f t="shared" si="59"/>
        <v>1278516.8645328593</v>
      </c>
      <c r="T203" s="154">
        <f t="shared" si="59"/>
        <v>1279087.3197299638</v>
      </c>
      <c r="U203" s="154">
        <f t="shared" si="59"/>
        <v>1279128.066529757</v>
      </c>
      <c r="V203" s="154">
        <f t="shared" si="59"/>
        <v>1279082.7923077645</v>
      </c>
      <c r="W203" s="154">
        <f t="shared" si="59"/>
        <v>1279082.7923077645</v>
      </c>
      <c r="X203" s="154">
        <f t="shared" si="59"/>
        <v>1279037.5180857722</v>
      </c>
      <c r="Y203" s="154">
        <f t="shared" si="59"/>
        <v>1278856.4211978025</v>
      </c>
      <c r="Z203" s="154">
        <f t="shared" si="59"/>
        <v>1278448.9531998707</v>
      </c>
      <c r="AA203" s="154">
        <f t="shared" si="59"/>
        <v>1278630.0500878403</v>
      </c>
      <c r="AB203" s="154">
        <f t="shared" si="59"/>
        <v>1278915.2776863927</v>
      </c>
      <c r="AC203" s="154">
        <f t="shared" si="59"/>
        <v>1278860.9486200018</v>
      </c>
      <c r="AD203" s="154">
        <f t="shared" si="59"/>
        <v>1278498.7548440623</v>
      </c>
      <c r="AE203" s="154">
        <f t="shared" si="59"/>
        <v>1279177.8681739487</v>
      </c>
      <c r="AF203" s="154">
        <f t="shared" si="59"/>
        <v>1278906.2228419941</v>
      </c>
      <c r="AG203" s="154">
        <f t="shared" si="59"/>
        <v>322307.1863640667</v>
      </c>
      <c r="AH203" s="154">
        <f t="shared" si="59"/>
        <v>0</v>
      </c>
      <c r="AI203" s="154">
        <f t="shared" si="59"/>
        <v>0</v>
      </c>
      <c r="AJ203" s="154">
        <f t="shared" si="59"/>
        <v>0</v>
      </c>
    </row>
    <row r="204" spans="5:36" ht="12.75">
      <c r="E204" s="167" t="s">
        <v>172</v>
      </c>
      <c r="F204" s="214"/>
      <c r="G204" s="30"/>
      <c r="H204" s="30"/>
      <c r="I204" s="30"/>
      <c r="J204" s="30"/>
      <c r="K204" s="30"/>
      <c r="L204" s="30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</row>
    <row r="205" spans="5:36" ht="12.75">
      <c r="E205" s="156">
        <f>E209/H205</f>
        <v>38529.08891328211</v>
      </c>
      <c r="F205" s="214" t="s">
        <v>173</v>
      </c>
      <c r="G205" s="30">
        <f>'[1]Parking Revised est 10.30'!J27</f>
        <v>862</v>
      </c>
      <c r="H205" s="30">
        <f>'[1]Parking Revised est 10.30'!K27</f>
        <v>911</v>
      </c>
      <c r="I205" s="30">
        <f aca="true" t="shared" si="60" ref="I205:AJ205">H205</f>
        <v>911</v>
      </c>
      <c r="J205" s="30">
        <f t="shared" si="60"/>
        <v>911</v>
      </c>
      <c r="K205" s="30">
        <f t="shared" si="60"/>
        <v>911</v>
      </c>
      <c r="L205" s="30">
        <f t="shared" si="60"/>
        <v>911</v>
      </c>
      <c r="M205" s="159">
        <f t="shared" si="60"/>
        <v>911</v>
      </c>
      <c r="N205" s="159">
        <f t="shared" si="60"/>
        <v>911</v>
      </c>
      <c r="O205" s="159">
        <f t="shared" si="60"/>
        <v>911</v>
      </c>
      <c r="P205" s="159">
        <f t="shared" si="60"/>
        <v>911</v>
      </c>
      <c r="Q205" s="159">
        <f t="shared" si="60"/>
        <v>911</v>
      </c>
      <c r="R205" s="159">
        <f t="shared" si="60"/>
        <v>911</v>
      </c>
      <c r="S205" s="159">
        <f t="shared" si="60"/>
        <v>911</v>
      </c>
      <c r="T205" s="159">
        <f t="shared" si="60"/>
        <v>911</v>
      </c>
      <c r="U205" s="159">
        <f t="shared" si="60"/>
        <v>911</v>
      </c>
      <c r="V205" s="159">
        <f t="shared" si="60"/>
        <v>911</v>
      </c>
      <c r="W205" s="159">
        <f t="shared" si="60"/>
        <v>911</v>
      </c>
      <c r="X205" s="159">
        <f t="shared" si="60"/>
        <v>911</v>
      </c>
      <c r="Y205" s="159">
        <f t="shared" si="60"/>
        <v>911</v>
      </c>
      <c r="Z205" s="159">
        <f t="shared" si="60"/>
        <v>911</v>
      </c>
      <c r="AA205" s="159">
        <f t="shared" si="60"/>
        <v>911</v>
      </c>
      <c r="AB205" s="159">
        <f t="shared" si="60"/>
        <v>911</v>
      </c>
      <c r="AC205" s="159">
        <f t="shared" si="60"/>
        <v>911</v>
      </c>
      <c r="AD205" s="159">
        <f t="shared" si="60"/>
        <v>911</v>
      </c>
      <c r="AE205" s="159">
        <f t="shared" si="60"/>
        <v>911</v>
      </c>
      <c r="AF205" s="159">
        <f t="shared" si="60"/>
        <v>911</v>
      </c>
      <c r="AG205" s="159">
        <f t="shared" si="60"/>
        <v>911</v>
      </c>
      <c r="AH205" s="159">
        <f t="shared" si="60"/>
        <v>911</v>
      </c>
      <c r="AI205" s="159">
        <f t="shared" si="60"/>
        <v>911</v>
      </c>
      <c r="AJ205" s="159">
        <f t="shared" si="60"/>
        <v>911</v>
      </c>
    </row>
    <row r="206" spans="5:36" ht="12.75">
      <c r="E206" s="167"/>
      <c r="F206" s="214"/>
      <c r="G206" s="30"/>
      <c r="H206" s="30"/>
      <c r="I206" s="30"/>
      <c r="J206" s="30"/>
      <c r="K206" s="30"/>
      <c r="L206" s="30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  <c r="AG206" s="159"/>
      <c r="AH206" s="159"/>
      <c r="AI206" s="159"/>
      <c r="AJ206" s="159"/>
    </row>
    <row r="207" spans="5:36" ht="12.75">
      <c r="E207" s="167"/>
      <c r="F207" s="212" t="s">
        <v>174</v>
      </c>
      <c r="G207" s="30">
        <f>'[1]Parking Revised est 10.30'!N38</f>
        <v>2113810</v>
      </c>
      <c r="H207" s="30">
        <f>'[1]Parking Revised est 10.30'!P38</f>
        <v>2475568.789</v>
      </c>
      <c r="I207" s="30">
        <f>H207*(1+'[1]WR Parking Model'!$C$25)</f>
        <v>2549835.85267</v>
      </c>
      <c r="J207" s="30">
        <f>I207*(1+'[1]WR Parking Model'!$C$25)</f>
        <v>2626330.9282501</v>
      </c>
      <c r="K207" s="30">
        <f>J207*(1+'[1]WR Parking Model'!$C$25)</f>
        <v>2705120.856097603</v>
      </c>
      <c r="L207" s="30">
        <f>K207*(1+'[1]WR Parking Model'!$C$25)</f>
        <v>2786274.4817805314</v>
      </c>
      <c r="M207" s="159">
        <f>L207*(1+'[1]WR Parking Model'!$C$25)</f>
        <v>2869862.7162339473</v>
      </c>
      <c r="N207" s="159">
        <f>M207*(1+'[1]WR Parking Model'!$C$25)</f>
        <v>2955958.5977209657</v>
      </c>
      <c r="O207" s="159">
        <f>N207*(1+'[1]WR Parking Model'!$C$25)</f>
        <v>3044637.355652595</v>
      </c>
      <c r="P207" s="159">
        <f>O207*(1+'[1]WR Parking Model'!$C$25)</f>
        <v>3135976.4763221727</v>
      </c>
      <c r="Q207" s="159">
        <f>P207*(1+'[1]WR Parking Model'!$C$25)</f>
        <v>3230055.770611838</v>
      </c>
      <c r="R207" s="159">
        <f>Q207*(1+'[1]WR Parking Model'!$C$25)</f>
        <v>3326957.443730193</v>
      </c>
      <c r="S207" s="159">
        <f>R207*(1+'[1]WR Parking Model'!$C$25)</f>
        <v>3426766.167042099</v>
      </c>
      <c r="T207" s="159">
        <f>S207*(1+'[1]WR Parking Model'!$C$25)</f>
        <v>3529569.152053362</v>
      </c>
      <c r="U207" s="159">
        <f>T207*(1+'[1]WR Parking Model'!$C$25)</f>
        <v>3635456.2266149633</v>
      </c>
      <c r="V207" s="159">
        <f>U207*(1+'[1]WR Parking Model'!$C$25)</f>
        <v>3744519.9134134124</v>
      </c>
      <c r="W207" s="159">
        <f>V207*(1+'[1]WR Parking Model'!$C$25)</f>
        <v>3856855.510815815</v>
      </c>
      <c r="X207" s="159">
        <f>W207*(1+'[1]WR Parking Model'!$C$25)</f>
        <v>3972561.1761402898</v>
      </c>
      <c r="Y207" s="159">
        <f>X207*(1+'[1]WR Parking Model'!$C$25)</f>
        <v>4091738.0114244986</v>
      </c>
      <c r="Z207" s="159">
        <f>Y207*(1+'[1]WR Parking Model'!$C$25)</f>
        <v>4214490.151767233</v>
      </c>
      <c r="AA207" s="159">
        <f>Z207*(1+'[1]WR Parking Model'!$C$25)</f>
        <v>4340924.856320251</v>
      </c>
      <c r="AB207" s="159">
        <f>AA207*(1+'[1]WR Parking Model'!$C$25)</f>
        <v>4471152.602009858</v>
      </c>
      <c r="AC207" s="159">
        <f>AB207*(1+'[1]WR Parking Model'!$C$25)</f>
        <v>4605287.180070153</v>
      </c>
      <c r="AD207" s="159">
        <f>AC207*(1+'[1]WR Parking Model'!$C$25)</f>
        <v>4743445.795472258</v>
      </c>
      <c r="AE207" s="159">
        <f>AD207*(1+'[1]WR Parking Model'!$C$25)</f>
        <v>4885749.169336426</v>
      </c>
      <c r="AF207" s="159">
        <f>AE207*(1+'[1]WR Parking Model'!$C$25)</f>
        <v>5032321.644416519</v>
      </c>
      <c r="AG207" s="159">
        <f>AF207*(1+'[1]WR Parking Model'!$C$25)</f>
        <v>5183291.293749015</v>
      </c>
      <c r="AH207" s="159">
        <f>AG207*(1+'[1]WR Parking Model'!$C$25)</f>
        <v>5338790.032561486</v>
      </c>
      <c r="AI207" s="159">
        <f>AH207*(1+'[1]WR Parking Model'!$C$25)</f>
        <v>5498953.7335383305</v>
      </c>
      <c r="AJ207" s="159">
        <f>AI207*(1+'[1]WR Parking Model'!$C$25)</f>
        <v>5663922.345544481</v>
      </c>
    </row>
    <row r="208" spans="5:36" ht="13.5" thickBot="1">
      <c r="E208" s="167"/>
      <c r="F208" s="212" t="s">
        <v>175</v>
      </c>
      <c r="G208" s="30">
        <v>0</v>
      </c>
      <c r="H208" s="30">
        <v>0</v>
      </c>
      <c r="I208" s="30">
        <f>H208*(1+'[1]WR Parking Model'!$C$25)</f>
        <v>0</v>
      </c>
      <c r="J208" s="30">
        <f>I208*(1+'[1]WR Parking Model'!$C$25)</f>
        <v>0</v>
      </c>
      <c r="K208" s="30">
        <f>J208*(1+'[1]WR Parking Model'!$C$25)</f>
        <v>0</v>
      </c>
      <c r="L208" s="30">
        <f>K208*(1+'[1]WR Parking Model'!$C$25)</f>
        <v>0</v>
      </c>
      <c r="M208" s="159">
        <f>L208*(1+'[1]WR Parking Model'!$C$25)</f>
        <v>0</v>
      </c>
      <c r="N208" s="159">
        <f>M208*(1+'[1]WR Parking Model'!$C$25)</f>
        <v>0</v>
      </c>
      <c r="O208" s="159">
        <f>N208*(1+'[1]WR Parking Model'!$C$25)</f>
        <v>0</v>
      </c>
      <c r="P208" s="159">
        <f>O208*(1+'[1]WR Parking Model'!$C$25)</f>
        <v>0</v>
      </c>
      <c r="Q208" s="159">
        <f>P208*(1+'[1]WR Parking Model'!$C$25)</f>
        <v>0</v>
      </c>
      <c r="R208" s="159">
        <f>Q208*(1+'[1]WR Parking Model'!$C$25)</f>
        <v>0</v>
      </c>
      <c r="S208" s="159">
        <f>R208*(1+'[1]WR Parking Model'!$C$25)</f>
        <v>0</v>
      </c>
      <c r="T208" s="159">
        <f>S208*(1+'[1]WR Parking Model'!$C$25)</f>
        <v>0</v>
      </c>
      <c r="U208" s="159">
        <f>T208*(1+'[1]WR Parking Model'!$C$25)</f>
        <v>0</v>
      </c>
      <c r="V208" s="159">
        <f>U208*(1+'[1]WR Parking Model'!$C$25)</f>
        <v>0</v>
      </c>
      <c r="W208" s="159">
        <f>V208*(1+'[1]WR Parking Model'!$C$25)</f>
        <v>0</v>
      </c>
      <c r="X208" s="159">
        <f>W208*(1+'[1]WR Parking Model'!$C$25)</f>
        <v>0</v>
      </c>
      <c r="Y208" s="159">
        <f>X208*(1+'[1]WR Parking Model'!$C$25)</f>
        <v>0</v>
      </c>
      <c r="Z208" s="159">
        <f>Y208*(1+'[1]WR Parking Model'!$C$25)</f>
        <v>0</v>
      </c>
      <c r="AA208" s="159">
        <f>Z208*(1+'[1]WR Parking Model'!$C$25)</f>
        <v>0</v>
      </c>
      <c r="AB208" s="159">
        <f>AA208*(1+'[1]WR Parking Model'!$C$25)</f>
        <v>0</v>
      </c>
      <c r="AC208" s="159">
        <f>AB208*(1+'[1]WR Parking Model'!$C$25)</f>
        <v>0</v>
      </c>
      <c r="AD208" s="159">
        <f>AC208*(1+'[1]WR Parking Model'!$C$25)</f>
        <v>0</v>
      </c>
      <c r="AE208" s="159">
        <f>AD208*(1+'[1]WR Parking Model'!$C$25)</f>
        <v>0</v>
      </c>
      <c r="AF208" s="159">
        <f>AE208*(1+'[1]WR Parking Model'!$C$25)</f>
        <v>0</v>
      </c>
      <c r="AG208" s="159">
        <f>AF208*(1+'[1]WR Parking Model'!$C$25)</f>
        <v>0</v>
      </c>
      <c r="AH208" s="159">
        <f>AG208*(1+'[1]WR Parking Model'!$C$25)</f>
        <v>0</v>
      </c>
      <c r="AI208" s="159">
        <f>AH208*(1+'[1]WR Parking Model'!$C$25)</f>
        <v>0</v>
      </c>
      <c r="AJ208" s="159">
        <f>AI208*(1+'[1]WR Parking Model'!$C$25)</f>
        <v>0</v>
      </c>
    </row>
    <row r="209" spans="5:36" ht="13.5" thickBot="1">
      <c r="E209" s="213">
        <f>ROUND(NPV($G$31,G209:AH209),-5)</f>
        <v>35100000</v>
      </c>
      <c r="F209" s="212" t="s">
        <v>176</v>
      </c>
      <c r="G209" s="30">
        <f aca="true" t="shared" si="61" ref="G209:AJ209">G207-G208</f>
        <v>2113810</v>
      </c>
      <c r="H209" s="30">
        <f t="shared" si="61"/>
        <v>2475568.789</v>
      </c>
      <c r="I209" s="30">
        <f t="shared" si="61"/>
        <v>2549835.85267</v>
      </c>
      <c r="J209" s="30">
        <f t="shared" si="61"/>
        <v>2626330.9282501</v>
      </c>
      <c r="K209" s="30">
        <f t="shared" si="61"/>
        <v>2705120.856097603</v>
      </c>
      <c r="L209" s="30">
        <f t="shared" si="61"/>
        <v>2786274.4817805314</v>
      </c>
      <c r="M209" s="159">
        <f t="shared" si="61"/>
        <v>2869862.7162339473</v>
      </c>
      <c r="N209" s="159">
        <f t="shared" si="61"/>
        <v>2955958.5977209657</v>
      </c>
      <c r="O209" s="159">
        <f t="shared" si="61"/>
        <v>3044637.355652595</v>
      </c>
      <c r="P209" s="159">
        <f t="shared" si="61"/>
        <v>3135976.4763221727</v>
      </c>
      <c r="Q209" s="159">
        <f t="shared" si="61"/>
        <v>3230055.770611838</v>
      </c>
      <c r="R209" s="159">
        <f t="shared" si="61"/>
        <v>3326957.443730193</v>
      </c>
      <c r="S209" s="159">
        <f t="shared" si="61"/>
        <v>3426766.167042099</v>
      </c>
      <c r="T209" s="159">
        <f t="shared" si="61"/>
        <v>3529569.152053362</v>
      </c>
      <c r="U209" s="159">
        <f t="shared" si="61"/>
        <v>3635456.2266149633</v>
      </c>
      <c r="V209" s="159">
        <f t="shared" si="61"/>
        <v>3744519.9134134124</v>
      </c>
      <c r="W209" s="159">
        <f t="shared" si="61"/>
        <v>3856855.510815815</v>
      </c>
      <c r="X209" s="159">
        <f t="shared" si="61"/>
        <v>3972561.1761402898</v>
      </c>
      <c r="Y209" s="159">
        <f t="shared" si="61"/>
        <v>4091738.0114244986</v>
      </c>
      <c r="Z209" s="159">
        <f t="shared" si="61"/>
        <v>4214490.151767233</v>
      </c>
      <c r="AA209" s="159">
        <f t="shared" si="61"/>
        <v>4340924.856320251</v>
      </c>
      <c r="AB209" s="159">
        <f t="shared" si="61"/>
        <v>4471152.602009858</v>
      </c>
      <c r="AC209" s="159">
        <f t="shared" si="61"/>
        <v>4605287.180070153</v>
      </c>
      <c r="AD209" s="159">
        <f t="shared" si="61"/>
        <v>4743445.795472258</v>
      </c>
      <c r="AE209" s="159">
        <f t="shared" si="61"/>
        <v>4885749.169336426</v>
      </c>
      <c r="AF209" s="159">
        <f t="shared" si="61"/>
        <v>5032321.644416519</v>
      </c>
      <c r="AG209" s="159">
        <f t="shared" si="61"/>
        <v>5183291.293749015</v>
      </c>
      <c r="AH209" s="159">
        <f t="shared" si="61"/>
        <v>5338790.032561486</v>
      </c>
      <c r="AI209" s="159">
        <f t="shared" si="61"/>
        <v>5498953.7335383305</v>
      </c>
      <c r="AJ209" s="159">
        <f t="shared" si="61"/>
        <v>5663922.345544481</v>
      </c>
    </row>
    <row r="210" spans="5:36" ht="13.5" thickBot="1">
      <c r="E210" s="213">
        <f>ROUND(NPV($G$31,G210:AH210),-5)</f>
        <v>22400000</v>
      </c>
      <c r="F210" s="212" t="s">
        <v>177</v>
      </c>
      <c r="G210" s="164">
        <f aca="true" t="shared" si="62" ref="G210:AJ210">G209-G203</f>
        <v>2113810</v>
      </c>
      <c r="H210" s="164">
        <f t="shared" si="62"/>
        <v>1197255.6584661065</v>
      </c>
      <c r="I210" s="164">
        <f t="shared" si="62"/>
        <v>1270753.0603622354</v>
      </c>
      <c r="J210" s="164">
        <f t="shared" si="62"/>
        <v>1347474.5070522975</v>
      </c>
      <c r="K210" s="164">
        <f t="shared" si="62"/>
        <v>1426581.3544537476</v>
      </c>
      <c r="L210" s="164">
        <f t="shared" si="62"/>
        <v>1507282.2379167515</v>
      </c>
      <c r="M210" s="165">
        <f t="shared" si="62"/>
        <v>1591549.585700054</v>
      </c>
      <c r="N210" s="165">
        <f t="shared" si="62"/>
        <v>1677645.4671870724</v>
      </c>
      <c r="O210" s="165">
        <f t="shared" si="62"/>
        <v>1765735.6602328</v>
      </c>
      <c r="P210" s="165">
        <f t="shared" si="62"/>
        <v>1856893.6840144082</v>
      </c>
      <c r="Q210" s="165">
        <f t="shared" si="62"/>
        <v>1950850.737904694</v>
      </c>
      <c r="R210" s="165">
        <f t="shared" si="62"/>
        <v>2048078.3854213946</v>
      </c>
      <c r="S210" s="165">
        <f t="shared" si="62"/>
        <v>2148249.30250924</v>
      </c>
      <c r="T210" s="165">
        <f t="shared" si="62"/>
        <v>2250481.8323233984</v>
      </c>
      <c r="U210" s="165">
        <f t="shared" si="62"/>
        <v>2356328.160085206</v>
      </c>
      <c r="V210" s="165">
        <f t="shared" si="62"/>
        <v>2465437.1211056476</v>
      </c>
      <c r="W210" s="165">
        <f t="shared" si="62"/>
        <v>2577772.718508051</v>
      </c>
      <c r="X210" s="165">
        <f t="shared" si="62"/>
        <v>2693523.6580545176</v>
      </c>
      <c r="Y210" s="165">
        <f t="shared" si="62"/>
        <v>2812881.590226696</v>
      </c>
      <c r="Z210" s="165">
        <f t="shared" si="62"/>
        <v>2936041.1985673625</v>
      </c>
      <c r="AA210" s="165">
        <f t="shared" si="62"/>
        <v>3062294.8062324105</v>
      </c>
      <c r="AB210" s="165">
        <f t="shared" si="62"/>
        <v>3192237.324323465</v>
      </c>
      <c r="AC210" s="165">
        <f t="shared" si="62"/>
        <v>3326426.2314501517</v>
      </c>
      <c r="AD210" s="165">
        <f t="shared" si="62"/>
        <v>3464947.0406281957</v>
      </c>
      <c r="AE210" s="165">
        <f t="shared" si="62"/>
        <v>3606571.3011624776</v>
      </c>
      <c r="AF210" s="165">
        <f t="shared" si="62"/>
        <v>3753415.4215745255</v>
      </c>
      <c r="AG210" s="165">
        <f t="shared" si="62"/>
        <v>4860984.107384948</v>
      </c>
      <c r="AH210" s="165">
        <f t="shared" si="62"/>
        <v>5338790.032561486</v>
      </c>
      <c r="AI210" s="165">
        <f t="shared" si="62"/>
        <v>5498953.7335383305</v>
      </c>
      <c r="AJ210" s="165">
        <f t="shared" si="62"/>
        <v>5663922.345544481</v>
      </c>
    </row>
    <row r="211" spans="5:36" ht="12.75">
      <c r="E211" s="167"/>
      <c r="F211" s="212"/>
      <c r="G211" s="30"/>
      <c r="H211" s="30"/>
      <c r="I211" s="30"/>
      <c r="J211" s="30"/>
      <c r="K211" s="30"/>
      <c r="L211" s="30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59"/>
    </row>
    <row r="212" spans="5:36" ht="12.75">
      <c r="E212" s="167"/>
      <c r="F212" s="212" t="s">
        <v>178</v>
      </c>
      <c r="G212" s="30"/>
      <c r="H212" s="30"/>
      <c r="I212" s="30"/>
      <c r="J212" s="30"/>
      <c r="K212" s="30"/>
      <c r="L212" s="30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59"/>
    </row>
    <row r="213" spans="5:36" ht="12.75">
      <c r="E213" s="167"/>
      <c r="F213" s="212"/>
      <c r="G213" s="30"/>
      <c r="H213" s="30"/>
      <c r="I213" s="30"/>
      <c r="J213" s="30"/>
      <c r="K213" s="30"/>
      <c r="L213" s="30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59"/>
    </row>
    <row r="214" spans="5:36" ht="12.75">
      <c r="E214" s="167"/>
      <c r="F214" s="215" t="s">
        <v>179</v>
      </c>
      <c r="G214" s="30">
        <f>'[1]Current Parking Net'!$F$44*(1+0.03)^('[1]Original Adopted Proforma'!E162-2004)</f>
        <v>570403.494</v>
      </c>
      <c r="H214" s="30">
        <f>'[1]Current Parking Net'!$F$44*(1+0.03)^('[1]Original Adopted Proforma'!F162-2004)</f>
        <v>587515.59882</v>
      </c>
      <c r="I214" s="30">
        <f>'[1]Current Parking Net'!$F$44*(1+0.03)^('[1]Original Adopted Proforma'!G162-2004)</f>
        <v>605141.0667845999</v>
      </c>
      <c r="J214" s="30">
        <f>'[1]Current Parking Net'!$F$44*(1+0.03)^('[1]Original Adopted Proforma'!H162-2004)</f>
        <v>623295.298788138</v>
      </c>
      <c r="K214" s="30">
        <f>'[1]Current Parking Net'!$F$44*(1+0.03)^('[1]Original Adopted Proforma'!I162-2004)</f>
        <v>641994.1577517821</v>
      </c>
      <c r="L214" s="30">
        <f>'[1]Current Parking Net'!$F$44*(1+0.03)^('[1]Original Adopted Proforma'!J162-2004)</f>
        <v>661253.9824843355</v>
      </c>
      <c r="M214" s="159">
        <f>'[1]Current Parking Net'!$F$44*(1+0.03)^('[1]Original Adopted Proforma'!K162-2004)</f>
        <v>681091.6019588656</v>
      </c>
      <c r="N214" s="159">
        <f>'[1]Current Parking Net'!$F$44*(1+0.03)^('[1]Original Adopted Proforma'!L162-2004)</f>
        <v>701524.3500176315</v>
      </c>
      <c r="O214" s="159">
        <f>'[1]Current Parking Net'!$F$44*(1+0.03)^('[1]Original Adopted Proforma'!M162-2004)</f>
        <v>722570.0805181606</v>
      </c>
      <c r="P214" s="159">
        <f>'[1]Current Parking Net'!$F$44*(1+0.03)^('[1]Original Adopted Proforma'!N162-2004)</f>
        <v>744247.1829337053</v>
      </c>
      <c r="Q214" s="159">
        <f>'[1]Current Parking Net'!$F$44*(1+0.03)^('[1]Original Adopted Proforma'!O162-2004)</f>
        <v>766574.5984217164</v>
      </c>
      <c r="R214" s="159">
        <f>'[1]Current Parking Net'!$F$44*(1+0.03)^('[1]Original Adopted Proforma'!P162-2004)</f>
        <v>789571.8363743679</v>
      </c>
      <c r="S214" s="159">
        <f>'[1]Current Parking Net'!$F$44*(1+0.03)^('[1]Original Adopted Proforma'!Q162-2004)</f>
        <v>813258.991465599</v>
      </c>
      <c r="T214" s="159">
        <f>'[1]Current Parking Net'!$F$44*(1+0.03)^('[1]Original Adopted Proforma'!R162-2004)</f>
        <v>837656.7612095668</v>
      </c>
      <c r="U214" s="159">
        <f>'[1]Current Parking Net'!$F$44*(1+0.03)^('[1]Original Adopted Proforma'!S162-2004)</f>
        <v>862786.4640458538</v>
      </c>
      <c r="V214" s="159">
        <f>'[1]Current Parking Net'!$F$44*(1+0.03)^('[1]Original Adopted Proforma'!T162-2004)</f>
        <v>888670.0579672295</v>
      </c>
      <c r="W214" s="159">
        <f>'[1]Current Parking Net'!$F$44*(1+0.03)^('[1]Original Adopted Proforma'!U162-2004)</f>
        <v>915330.1597062463</v>
      </c>
      <c r="X214" s="159">
        <f>'[1]Current Parking Net'!$F$44*(1+0.03)^('[1]Original Adopted Proforma'!V162-2004)</f>
        <v>942790.0644974337</v>
      </c>
      <c r="Y214" s="159">
        <f>'[1]Current Parking Net'!$F$44*(1+0.03)^('[1]Original Adopted Proforma'!W162-2004)</f>
        <v>971073.7664323566</v>
      </c>
      <c r="Z214" s="159">
        <f>'[1]Current Parking Net'!$F$44*(1+0.03)^('[1]Original Adopted Proforma'!X162-2004)</f>
        <v>1000205.9794253274</v>
      </c>
      <c r="AA214" s="159">
        <f>'[1]Current Parking Net'!$F$44*(1+0.03)^('[1]Original Adopted Proforma'!Y162-2004)</f>
        <v>1030212.1588080872</v>
      </c>
      <c r="AB214" s="159">
        <f>'[1]Current Parking Net'!$F$44*(1+0.03)^('[1]Original Adopted Proforma'!Z162-2004)</f>
        <v>1061118.5235723297</v>
      </c>
      <c r="AC214" s="159">
        <f>'[1]Current Parking Net'!$F$44*(1+0.03)^('[1]Original Adopted Proforma'!AA162-2004)</f>
        <v>1092952.0792794996</v>
      </c>
      <c r="AD214" s="159">
        <f>'[1]Current Parking Net'!$F$44*(1+0.03)^('[1]Original Adopted Proforma'!AB162-2004)</f>
        <v>1125740.6416578847</v>
      </c>
      <c r="AE214" s="159">
        <f>'[1]Current Parking Net'!$F$44*(1+0.03)^('[1]Original Adopted Proforma'!AC162-2004)</f>
        <v>1159512.8609076212</v>
      </c>
      <c r="AF214" s="159">
        <f>'[1]Current Parking Net'!$F$44*(1+0.03)^('[1]Original Adopted Proforma'!AD162-2004)</f>
        <v>1194298.2467348499</v>
      </c>
      <c r="AG214" s="159">
        <f>'[1]Current Parking Net'!$F$44*(1+0.03)^('[1]Original Adopted Proforma'!AE162-2004)</f>
        <v>1230127.1941368952</v>
      </c>
      <c r="AH214" s="159">
        <f>'[1]Current Parking Net'!$F$44*(1+0.03)^('[1]Original Adopted Proforma'!AF162-2004)</f>
        <v>1267031.009961002</v>
      </c>
      <c r="AI214" s="159">
        <f>'[1]Current Parking Net'!$F$44*(1+0.03)^('[1]Original Adopted Proforma'!AG162-2004)</f>
        <v>1305041.9402598324</v>
      </c>
      <c r="AJ214" s="159">
        <f>'[1]Current Parking Net'!$F$44*(1+0.03)^('[1]Original Adopted Proforma'!AH162-2004)</f>
        <v>1344193.198467627</v>
      </c>
    </row>
    <row r="215" spans="5:36" ht="13.5" thickBot="1">
      <c r="E215" s="167"/>
      <c r="F215" s="215" t="s">
        <v>180</v>
      </c>
      <c r="G215" s="30">
        <f>'[1]Current Parking Net'!$G$44*(1+0.03)^('[1]Original Adopted Proforma'!E162-2004)</f>
        <v>475336.245</v>
      </c>
      <c r="H215" s="30">
        <f>'[1]Current Parking Net'!$G$44*(1+0.03)^('[1]Original Adopted Proforma'!F162-2004)</f>
        <v>489596.33235</v>
      </c>
      <c r="I215" s="30">
        <f>'[1]Current Parking Net'!$G$44*(1+0.03)^('[1]Original Adopted Proforma'!G162-2004)</f>
        <v>504284.22232049995</v>
      </c>
      <c r="J215" s="30">
        <f>'[1]Current Parking Net'!$G$44*(1+0.03)^('[1]Original Adopted Proforma'!H162-2004)</f>
        <v>519412.74899011495</v>
      </c>
      <c r="K215" s="30">
        <f>'[1]Current Parking Net'!$G$44*(1+0.03)^('[1]Original Adopted Proforma'!I162-2004)</f>
        <v>534995.1314598185</v>
      </c>
      <c r="L215" s="30">
        <f>'[1]Current Parking Net'!$G$44*(1+0.03)^('[1]Original Adopted Proforma'!J162-2004)</f>
        <v>551044.985403613</v>
      </c>
      <c r="M215" s="159">
        <f>'[1]Current Parking Net'!$G$44*(1+0.03)^('[1]Original Adopted Proforma'!K162-2004)</f>
        <v>567576.3349657214</v>
      </c>
      <c r="N215" s="159">
        <f>'[1]Current Parking Net'!$G$44*(1+0.03)^('[1]Original Adopted Proforma'!L162-2004)</f>
        <v>584603.625014693</v>
      </c>
      <c r="O215" s="159">
        <f>'[1]Current Parking Net'!$G$44*(1+0.03)^('[1]Original Adopted Proforma'!M162-2004)</f>
        <v>602141.7337651338</v>
      </c>
      <c r="P215" s="159">
        <f>'[1]Current Parking Net'!$G$44*(1+0.03)^('[1]Original Adopted Proforma'!N162-2004)</f>
        <v>620205.9857780878</v>
      </c>
      <c r="Q215" s="159">
        <f>'[1]Current Parking Net'!$G$44*(1+0.03)^('[1]Original Adopted Proforma'!O162-2004)</f>
        <v>638812.1653514303</v>
      </c>
      <c r="R215" s="159">
        <f>'[1]Current Parking Net'!$G$44*(1+0.03)^('[1]Original Adopted Proforma'!P162-2004)</f>
        <v>657976.5303119733</v>
      </c>
      <c r="S215" s="159">
        <f>'[1]Current Parking Net'!$G$44*(1+0.03)^('[1]Original Adopted Proforma'!Q162-2004)</f>
        <v>677715.8262213325</v>
      </c>
      <c r="T215" s="159">
        <f>'[1]Current Parking Net'!$G$44*(1+0.03)^('[1]Original Adopted Proforma'!R162-2004)</f>
        <v>698047.3010079723</v>
      </c>
      <c r="U215" s="159">
        <f>'[1]Current Parking Net'!$G$44*(1+0.03)^('[1]Original Adopted Proforma'!S162-2004)</f>
        <v>718988.7200382116</v>
      </c>
      <c r="V215" s="159">
        <f>'[1]Current Parking Net'!$G$44*(1+0.03)^('[1]Original Adopted Proforma'!T162-2004)</f>
        <v>740558.3816393579</v>
      </c>
      <c r="W215" s="159">
        <f>'[1]Current Parking Net'!$G$44*(1+0.03)^('[1]Original Adopted Proforma'!U162-2004)</f>
        <v>762775.1330885387</v>
      </c>
      <c r="X215" s="159">
        <f>'[1]Current Parking Net'!$G$44*(1+0.03)^('[1]Original Adopted Proforma'!V162-2004)</f>
        <v>785658.3870811948</v>
      </c>
      <c r="Y215" s="159">
        <f>'[1]Current Parking Net'!$G$44*(1+0.03)^('[1]Original Adopted Proforma'!W162-2004)</f>
        <v>809228.1386936305</v>
      </c>
      <c r="Z215" s="159">
        <f>'[1]Current Parking Net'!$G$44*(1+0.03)^('[1]Original Adopted Proforma'!X162-2004)</f>
        <v>833504.9828544395</v>
      </c>
      <c r="AA215" s="159">
        <f>'[1]Current Parking Net'!$G$44*(1+0.03)^('[1]Original Adopted Proforma'!Y162-2004)</f>
        <v>858510.1323400728</v>
      </c>
      <c r="AB215" s="159">
        <f>'[1]Current Parking Net'!$G$44*(1+0.03)^('[1]Original Adopted Proforma'!Z162-2004)</f>
        <v>884265.4363102748</v>
      </c>
      <c r="AC215" s="159">
        <f>'[1]Current Parking Net'!$G$44*(1+0.03)^('[1]Original Adopted Proforma'!AA162-2004)</f>
        <v>910793.399399583</v>
      </c>
      <c r="AD215" s="159">
        <f>'[1]Current Parking Net'!$G$44*(1+0.03)^('[1]Original Adopted Proforma'!AB162-2004)</f>
        <v>938117.2013815707</v>
      </c>
      <c r="AE215" s="159">
        <f>'[1]Current Parking Net'!$G$44*(1+0.03)^('[1]Original Adopted Proforma'!AC162-2004)</f>
        <v>966260.7174230176</v>
      </c>
      <c r="AF215" s="159">
        <f>'[1]Current Parking Net'!$G$44*(1+0.03)^('[1]Original Adopted Proforma'!AD162-2004)</f>
        <v>995248.5389457082</v>
      </c>
      <c r="AG215" s="159">
        <f>'[1]Current Parking Net'!$G$44*(1+0.03)^('[1]Original Adopted Proforma'!AE162-2004)</f>
        <v>1025105.9951140793</v>
      </c>
      <c r="AH215" s="159">
        <f>'[1]Current Parking Net'!$G$44*(1+0.03)^('[1]Original Adopted Proforma'!AF162-2004)</f>
        <v>1055859.1749675018</v>
      </c>
      <c r="AI215" s="159">
        <f>'[1]Current Parking Net'!$G$44*(1+0.03)^('[1]Original Adopted Proforma'!AG162-2004)</f>
        <v>1087534.9502165269</v>
      </c>
      <c r="AJ215" s="159">
        <f>'[1]Current Parking Net'!$G$44*(1+0.03)^('[1]Original Adopted Proforma'!AH162-2004)</f>
        <v>1120160.9987230224</v>
      </c>
    </row>
    <row r="216" spans="5:36" ht="12.75">
      <c r="E216" s="216">
        <f>ROUND(NPV($G$31,G216:AH216),-5)</f>
        <v>15400000</v>
      </c>
      <c r="F216" s="212" t="s">
        <v>181</v>
      </c>
      <c r="G216" s="164">
        <f aca="true" t="shared" si="63" ref="G216:AJ216">SUM(G214:G215)</f>
        <v>1045739.739</v>
      </c>
      <c r="H216" s="164">
        <f t="shared" si="63"/>
        <v>1077111.93117</v>
      </c>
      <c r="I216" s="164">
        <f t="shared" si="63"/>
        <v>1109425.2891050999</v>
      </c>
      <c r="J216" s="164">
        <f t="shared" si="63"/>
        <v>1142708.047778253</v>
      </c>
      <c r="K216" s="164">
        <f t="shared" si="63"/>
        <v>1176989.2892116006</v>
      </c>
      <c r="L216" s="164">
        <f t="shared" si="63"/>
        <v>1212298.9678879485</v>
      </c>
      <c r="M216" s="165">
        <f t="shared" si="63"/>
        <v>1248667.936924587</v>
      </c>
      <c r="N216" s="165">
        <f t="shared" si="63"/>
        <v>1286127.9750323244</v>
      </c>
      <c r="O216" s="165">
        <f t="shared" si="63"/>
        <v>1324711.8142832944</v>
      </c>
      <c r="P216" s="165">
        <f t="shared" si="63"/>
        <v>1364453.1687117931</v>
      </c>
      <c r="Q216" s="165">
        <f t="shared" si="63"/>
        <v>1405386.7637731466</v>
      </c>
      <c r="R216" s="165">
        <f t="shared" si="63"/>
        <v>1447548.3666863414</v>
      </c>
      <c r="S216" s="165">
        <f t="shared" si="63"/>
        <v>1490974.8176869317</v>
      </c>
      <c r="T216" s="165">
        <f t="shared" si="63"/>
        <v>1535704.0622175392</v>
      </c>
      <c r="U216" s="165">
        <f t="shared" si="63"/>
        <v>1581775.1840840653</v>
      </c>
      <c r="V216" s="165">
        <f t="shared" si="63"/>
        <v>1629228.4396065874</v>
      </c>
      <c r="W216" s="165">
        <f t="shared" si="63"/>
        <v>1678105.292794785</v>
      </c>
      <c r="X216" s="165">
        <f t="shared" si="63"/>
        <v>1728448.4515786285</v>
      </c>
      <c r="Y216" s="165">
        <f t="shared" si="63"/>
        <v>1780301.905125987</v>
      </c>
      <c r="Z216" s="165">
        <f t="shared" si="63"/>
        <v>1833710.9622797668</v>
      </c>
      <c r="AA216" s="165">
        <f t="shared" si="63"/>
        <v>1888722.2911481601</v>
      </c>
      <c r="AB216" s="165">
        <f t="shared" si="63"/>
        <v>1945383.9598826044</v>
      </c>
      <c r="AC216" s="165">
        <f t="shared" si="63"/>
        <v>2003745.4786790826</v>
      </c>
      <c r="AD216" s="165">
        <f t="shared" si="63"/>
        <v>2063857.8430394554</v>
      </c>
      <c r="AE216" s="165">
        <f t="shared" si="63"/>
        <v>2125773.578330639</v>
      </c>
      <c r="AF216" s="165">
        <f t="shared" si="63"/>
        <v>2189546.785680558</v>
      </c>
      <c r="AG216" s="165">
        <f t="shared" si="63"/>
        <v>2255233.1892509745</v>
      </c>
      <c r="AH216" s="165">
        <f t="shared" si="63"/>
        <v>2322890.184928504</v>
      </c>
      <c r="AI216" s="165">
        <f t="shared" si="63"/>
        <v>2392576.890476359</v>
      </c>
      <c r="AJ216" s="165">
        <f t="shared" si="63"/>
        <v>2464354.1971906493</v>
      </c>
    </row>
    <row r="217" spans="5:36" ht="12.75">
      <c r="E217" s="217"/>
      <c r="F217" s="212"/>
      <c r="G217" s="164"/>
      <c r="H217" s="164"/>
      <c r="I217" s="164"/>
      <c r="J217" s="164"/>
      <c r="K217" s="164"/>
      <c r="L217" s="164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165"/>
    </row>
    <row r="218" spans="5:36" ht="12.75">
      <c r="E218" s="217"/>
      <c r="F218" s="218" t="s">
        <v>182</v>
      </c>
      <c r="G218" s="164">
        <f aca="true" t="shared" si="64" ref="G218:AJ218">G210-G216</f>
        <v>1068070.261</v>
      </c>
      <c r="H218" s="164">
        <f t="shared" si="64"/>
        <v>120143.72729610652</v>
      </c>
      <c r="I218" s="164">
        <f t="shared" si="64"/>
        <v>161327.77125713555</v>
      </c>
      <c r="J218" s="164">
        <f t="shared" si="64"/>
        <v>204766.4592740445</v>
      </c>
      <c r="K218" s="164">
        <f t="shared" si="64"/>
        <v>249592.06524214707</v>
      </c>
      <c r="L218" s="164">
        <f t="shared" si="64"/>
        <v>294983.27002880303</v>
      </c>
      <c r="M218" s="164">
        <f t="shared" si="64"/>
        <v>342881.64877546695</v>
      </c>
      <c r="N218" s="164">
        <f t="shared" si="64"/>
        <v>391517.49215474795</v>
      </c>
      <c r="O218" s="164">
        <f t="shared" si="64"/>
        <v>441023.8459495057</v>
      </c>
      <c r="P218" s="164">
        <f t="shared" si="64"/>
        <v>492440.515302615</v>
      </c>
      <c r="Q218" s="164">
        <f t="shared" si="64"/>
        <v>545463.9741315474</v>
      </c>
      <c r="R218" s="164">
        <f t="shared" si="64"/>
        <v>600530.0187350533</v>
      </c>
      <c r="S218" s="164">
        <f t="shared" si="64"/>
        <v>657274.4848223082</v>
      </c>
      <c r="T218" s="164">
        <f t="shared" si="64"/>
        <v>714777.7701058593</v>
      </c>
      <c r="U218" s="164">
        <f t="shared" si="64"/>
        <v>774552.9760011407</v>
      </c>
      <c r="V218" s="164">
        <f t="shared" si="64"/>
        <v>836208.6814990602</v>
      </c>
      <c r="W218" s="164">
        <f t="shared" si="64"/>
        <v>899667.4257132658</v>
      </c>
      <c r="X218" s="164">
        <f t="shared" si="64"/>
        <v>965075.2064758891</v>
      </c>
      <c r="Y218" s="164">
        <f t="shared" si="64"/>
        <v>1032579.6851007089</v>
      </c>
      <c r="Z218" s="164">
        <f t="shared" si="64"/>
        <v>1102330.2362875957</v>
      </c>
      <c r="AA218" s="164">
        <f t="shared" si="64"/>
        <v>1173572.5150842504</v>
      </c>
      <c r="AB218" s="164">
        <f t="shared" si="64"/>
        <v>1246853.3644408607</v>
      </c>
      <c r="AC218" s="164">
        <f t="shared" si="64"/>
        <v>1322680.752771069</v>
      </c>
      <c r="AD218" s="164">
        <f t="shared" si="64"/>
        <v>1401089.1975887404</v>
      </c>
      <c r="AE218" s="164">
        <f t="shared" si="64"/>
        <v>1480797.7228318388</v>
      </c>
      <c r="AF218" s="164">
        <f t="shared" si="64"/>
        <v>1563868.6358939675</v>
      </c>
      <c r="AG218" s="164">
        <f t="shared" si="64"/>
        <v>2605750.9181339736</v>
      </c>
      <c r="AH218" s="164">
        <f t="shared" si="64"/>
        <v>3015899.847632982</v>
      </c>
      <c r="AI218" s="164">
        <f t="shared" si="64"/>
        <v>3106376.8430619715</v>
      </c>
      <c r="AJ218" s="164">
        <f t="shared" si="64"/>
        <v>3199568.1483538314</v>
      </c>
    </row>
    <row r="219" spans="5:36" ht="12.75">
      <c r="E219" s="217"/>
      <c r="F219" s="212"/>
      <c r="G219" s="164"/>
      <c r="H219" s="164"/>
      <c r="I219" s="164"/>
      <c r="J219" s="164"/>
      <c r="K219" s="164"/>
      <c r="L219" s="164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  <c r="AH219" s="165"/>
      <c r="AI219" s="165"/>
      <c r="AJ219" s="165"/>
    </row>
    <row r="220" spans="5:36" ht="12.75">
      <c r="E220" s="219"/>
      <c r="F220" s="212"/>
      <c r="G220" s="164"/>
      <c r="H220" s="164"/>
      <c r="I220" s="164"/>
      <c r="J220" s="164"/>
      <c r="K220" s="164"/>
      <c r="L220" s="164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  <c r="AH220" s="165"/>
      <c r="AI220" s="165"/>
      <c r="AJ220" s="165"/>
    </row>
    <row r="221" spans="5:36" ht="12.75">
      <c r="E221" s="219"/>
      <c r="F221" s="212"/>
      <c r="G221" s="164"/>
      <c r="H221" s="164"/>
      <c r="I221" s="164"/>
      <c r="J221" s="164"/>
      <c r="K221" s="164"/>
      <c r="L221" s="164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/>
      <c r="AD221" s="165"/>
      <c r="AE221" s="165"/>
      <c r="AF221" s="165"/>
      <c r="AG221" s="165"/>
      <c r="AH221" s="165"/>
      <c r="AI221" s="165"/>
      <c r="AJ221" s="165"/>
    </row>
    <row r="222" spans="5:36" ht="12.75" hidden="1">
      <c r="E222" s="219"/>
      <c r="F222" s="212"/>
      <c r="G222" s="164"/>
      <c r="H222" s="164"/>
      <c r="I222" s="164"/>
      <c r="J222" s="164"/>
      <c r="K222" s="164"/>
      <c r="L222" s="164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165"/>
      <c r="AG222" s="165"/>
      <c r="AH222" s="165"/>
      <c r="AI222" s="165"/>
      <c r="AJ222" s="165"/>
    </row>
    <row r="223" spans="5:36" ht="13.5" hidden="1" thickBot="1">
      <c r="E223" s="220">
        <f>ROUND(NPV(0.055,G216:AE216),-5)</f>
        <v>18900000</v>
      </c>
      <c r="F223" s="212" t="s">
        <v>183</v>
      </c>
      <c r="G223" s="164"/>
      <c r="H223" s="164"/>
      <c r="I223" s="164"/>
      <c r="J223" s="164"/>
      <c r="K223" s="164"/>
      <c r="L223" s="164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5"/>
      <c r="AD223" s="165"/>
      <c r="AE223" s="165"/>
      <c r="AF223" s="165"/>
      <c r="AG223" s="165"/>
      <c r="AH223" s="165"/>
      <c r="AI223" s="165"/>
      <c r="AJ223" s="165"/>
    </row>
    <row r="224" spans="5:36" ht="12.75" hidden="1">
      <c r="E224" s="221">
        <f>ROUND(E223*568/730,-5)</f>
        <v>14700000</v>
      </c>
      <c r="F224" s="212" t="s">
        <v>184</v>
      </c>
      <c r="G224" s="164"/>
      <c r="H224" s="164"/>
      <c r="I224" s="164"/>
      <c r="J224" s="164"/>
      <c r="K224" s="164"/>
      <c r="L224" s="164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5"/>
      <c r="AC224" s="165"/>
      <c r="AD224" s="165"/>
      <c r="AE224" s="165"/>
      <c r="AF224" s="165"/>
      <c r="AG224" s="165"/>
      <c r="AH224" s="165"/>
      <c r="AI224" s="165"/>
      <c r="AJ224" s="165"/>
    </row>
    <row r="225" spans="5:36" ht="12.75" hidden="1">
      <c r="E225" s="222">
        <f>E224/E223</f>
        <v>0.7777777777777778</v>
      </c>
      <c r="F225" s="212" t="s">
        <v>185</v>
      </c>
      <c r="G225" s="164">
        <f aca="true" t="shared" si="65" ref="G225:AJ225">G210*$E$226</f>
        <v>1162595.5</v>
      </c>
      <c r="H225" s="164">
        <f t="shared" si="65"/>
        <v>658490.6121563587</v>
      </c>
      <c r="I225" s="164">
        <f t="shared" si="65"/>
        <v>698914.1831992295</v>
      </c>
      <c r="J225" s="164">
        <f t="shared" si="65"/>
        <v>741110.9788787636</v>
      </c>
      <c r="K225" s="164">
        <f t="shared" si="65"/>
        <v>784619.7449495613</v>
      </c>
      <c r="L225" s="164">
        <f t="shared" si="65"/>
        <v>829005.2308542134</v>
      </c>
      <c r="M225" s="164">
        <f t="shared" si="65"/>
        <v>875352.2721350298</v>
      </c>
      <c r="N225" s="164">
        <f t="shared" si="65"/>
        <v>922705.0069528898</v>
      </c>
      <c r="O225" s="164">
        <f t="shared" si="65"/>
        <v>971154.6131280401</v>
      </c>
      <c r="P225" s="164">
        <f t="shared" si="65"/>
        <v>1021291.5262079246</v>
      </c>
      <c r="Q225" s="164">
        <f t="shared" si="65"/>
        <v>1072967.9058475818</v>
      </c>
      <c r="R225" s="164">
        <f t="shared" si="65"/>
        <v>1126443.1119817672</v>
      </c>
      <c r="S225" s="164">
        <f t="shared" si="65"/>
        <v>1181537.116380082</v>
      </c>
      <c r="T225" s="164">
        <f t="shared" si="65"/>
        <v>1237765.0077778692</v>
      </c>
      <c r="U225" s="164">
        <f t="shared" si="65"/>
        <v>1295980.4880468633</v>
      </c>
      <c r="V225" s="164">
        <f t="shared" si="65"/>
        <v>1355990.4166081063</v>
      </c>
      <c r="W225" s="164">
        <f t="shared" si="65"/>
        <v>1417774.995179428</v>
      </c>
      <c r="X225" s="164">
        <f t="shared" si="65"/>
        <v>1481438.011929985</v>
      </c>
      <c r="Y225" s="164">
        <f t="shared" si="65"/>
        <v>1547084.8746246828</v>
      </c>
      <c r="Z225" s="164">
        <f t="shared" si="65"/>
        <v>1614822.6592120496</v>
      </c>
      <c r="AA225" s="164">
        <f t="shared" si="65"/>
        <v>1684262.143427826</v>
      </c>
      <c r="AB225" s="164">
        <f t="shared" si="65"/>
        <v>1755730.528377906</v>
      </c>
      <c r="AC225" s="164">
        <f t="shared" si="65"/>
        <v>1829534.4272975835</v>
      </c>
      <c r="AD225" s="164">
        <f t="shared" si="65"/>
        <v>1905720.8723455078</v>
      </c>
      <c r="AE225" s="164">
        <f t="shared" si="65"/>
        <v>1983614.2156393628</v>
      </c>
      <c r="AF225" s="164">
        <f t="shared" si="65"/>
        <v>2064378.4818659893</v>
      </c>
      <c r="AG225" s="164">
        <f t="shared" si="65"/>
        <v>2673541.2590617216</v>
      </c>
      <c r="AH225" s="164">
        <f t="shared" si="65"/>
        <v>2936334.517908817</v>
      </c>
      <c r="AI225" s="164">
        <f t="shared" si="65"/>
        <v>3024424.553446082</v>
      </c>
      <c r="AJ225" s="164">
        <f t="shared" si="65"/>
        <v>3115157.2900494644</v>
      </c>
    </row>
    <row r="226" spans="5:36" ht="13.5" hidden="1" thickBot="1">
      <c r="E226" s="223">
        <f>'[1]C&amp;FS alternatives'!I10</f>
        <v>0.55</v>
      </c>
      <c r="F226" s="212" t="s">
        <v>186</v>
      </c>
      <c r="G226" s="30">
        <f aca="true" t="shared" si="66" ref="G226:AJ226">MAX(G225,G214)</f>
        <v>1162595.5</v>
      </c>
      <c r="H226" s="30">
        <f t="shared" si="66"/>
        <v>658490.6121563587</v>
      </c>
      <c r="I226" s="30">
        <f t="shared" si="66"/>
        <v>698914.1831992295</v>
      </c>
      <c r="J226" s="30">
        <f t="shared" si="66"/>
        <v>741110.9788787636</v>
      </c>
      <c r="K226" s="30">
        <f t="shared" si="66"/>
        <v>784619.7449495613</v>
      </c>
      <c r="L226" s="30">
        <f t="shared" si="66"/>
        <v>829005.2308542134</v>
      </c>
      <c r="M226" s="30">
        <f t="shared" si="66"/>
        <v>875352.2721350298</v>
      </c>
      <c r="N226" s="30">
        <f t="shared" si="66"/>
        <v>922705.0069528898</v>
      </c>
      <c r="O226" s="30">
        <f t="shared" si="66"/>
        <v>971154.6131280401</v>
      </c>
      <c r="P226" s="30">
        <f t="shared" si="66"/>
        <v>1021291.5262079246</v>
      </c>
      <c r="Q226" s="30">
        <f t="shared" si="66"/>
        <v>1072967.9058475818</v>
      </c>
      <c r="R226" s="30">
        <f t="shared" si="66"/>
        <v>1126443.1119817672</v>
      </c>
      <c r="S226" s="30">
        <f t="shared" si="66"/>
        <v>1181537.116380082</v>
      </c>
      <c r="T226" s="30">
        <f t="shared" si="66"/>
        <v>1237765.0077778692</v>
      </c>
      <c r="U226" s="30">
        <f t="shared" si="66"/>
        <v>1295980.4880468633</v>
      </c>
      <c r="V226" s="30">
        <f t="shared" si="66"/>
        <v>1355990.4166081063</v>
      </c>
      <c r="W226" s="30">
        <f t="shared" si="66"/>
        <v>1417774.995179428</v>
      </c>
      <c r="X226" s="30">
        <f t="shared" si="66"/>
        <v>1481438.011929985</v>
      </c>
      <c r="Y226" s="30">
        <f t="shared" si="66"/>
        <v>1547084.8746246828</v>
      </c>
      <c r="Z226" s="30">
        <f t="shared" si="66"/>
        <v>1614822.6592120496</v>
      </c>
      <c r="AA226" s="30">
        <f t="shared" si="66"/>
        <v>1684262.143427826</v>
      </c>
      <c r="AB226" s="30">
        <f t="shared" si="66"/>
        <v>1755730.528377906</v>
      </c>
      <c r="AC226" s="30">
        <f t="shared" si="66"/>
        <v>1829534.4272975835</v>
      </c>
      <c r="AD226" s="30">
        <f t="shared" si="66"/>
        <v>1905720.8723455078</v>
      </c>
      <c r="AE226" s="30">
        <f t="shared" si="66"/>
        <v>1983614.2156393628</v>
      </c>
      <c r="AF226" s="30">
        <f t="shared" si="66"/>
        <v>2064378.4818659893</v>
      </c>
      <c r="AG226" s="30">
        <f t="shared" si="66"/>
        <v>2673541.2590617216</v>
      </c>
      <c r="AH226" s="30">
        <f t="shared" si="66"/>
        <v>2936334.517908817</v>
      </c>
      <c r="AI226" s="30">
        <f t="shared" si="66"/>
        <v>3024424.553446082</v>
      </c>
      <c r="AJ226" s="30">
        <f t="shared" si="66"/>
        <v>3115157.2900494644</v>
      </c>
    </row>
    <row r="227" spans="5:36" ht="13.5" hidden="1" thickBot="1">
      <c r="E227" s="213">
        <f>ROUND(NPV($G$31,G227:AH227),-3)</f>
        <v>3923000</v>
      </c>
      <c r="F227" s="212" t="s">
        <v>187</v>
      </c>
      <c r="G227" s="30">
        <f aca="true" t="shared" si="67" ref="G227:AJ227">G226-G214</f>
        <v>592192.006</v>
      </c>
      <c r="H227" s="30">
        <f t="shared" si="67"/>
        <v>70975.01333635871</v>
      </c>
      <c r="I227" s="30">
        <f t="shared" si="67"/>
        <v>93773.11641462962</v>
      </c>
      <c r="J227" s="30">
        <f t="shared" si="67"/>
        <v>117815.68009062565</v>
      </c>
      <c r="K227" s="30">
        <f t="shared" si="67"/>
        <v>142625.5871977792</v>
      </c>
      <c r="L227" s="30">
        <f t="shared" si="67"/>
        <v>167751.2483698778</v>
      </c>
      <c r="M227" s="30">
        <f t="shared" si="67"/>
        <v>194260.67017616413</v>
      </c>
      <c r="N227" s="30">
        <f t="shared" si="67"/>
        <v>221180.6569352583</v>
      </c>
      <c r="O227" s="30">
        <f t="shared" si="67"/>
        <v>248584.5326098795</v>
      </c>
      <c r="P227" s="30">
        <f t="shared" si="67"/>
        <v>277044.3432742193</v>
      </c>
      <c r="Q227" s="30">
        <f t="shared" si="67"/>
        <v>306393.30742586544</v>
      </c>
      <c r="R227" s="30">
        <f t="shared" si="67"/>
        <v>336871.2756073993</v>
      </c>
      <c r="S227" s="30">
        <f t="shared" si="67"/>
        <v>368278.12491448293</v>
      </c>
      <c r="T227" s="30">
        <f t="shared" si="67"/>
        <v>400108.2465683024</v>
      </c>
      <c r="U227" s="30">
        <f t="shared" si="67"/>
        <v>433194.02400100953</v>
      </c>
      <c r="V227" s="30">
        <f t="shared" si="67"/>
        <v>467320.35864087683</v>
      </c>
      <c r="W227" s="30">
        <f t="shared" si="67"/>
        <v>502444.8354731817</v>
      </c>
      <c r="X227" s="30">
        <f t="shared" si="67"/>
        <v>538647.9474325512</v>
      </c>
      <c r="Y227" s="30">
        <f t="shared" si="67"/>
        <v>576011.1081923263</v>
      </c>
      <c r="Z227" s="30">
        <f t="shared" si="67"/>
        <v>614616.6797867222</v>
      </c>
      <c r="AA227" s="30">
        <f t="shared" si="67"/>
        <v>654049.9846197388</v>
      </c>
      <c r="AB227" s="30">
        <f t="shared" si="67"/>
        <v>694612.0048055763</v>
      </c>
      <c r="AC227" s="30">
        <f t="shared" si="67"/>
        <v>736582.348018084</v>
      </c>
      <c r="AD227" s="30">
        <f t="shared" si="67"/>
        <v>779980.2306876231</v>
      </c>
      <c r="AE227" s="30">
        <f t="shared" si="67"/>
        <v>824101.3547317416</v>
      </c>
      <c r="AF227" s="30">
        <f t="shared" si="67"/>
        <v>870080.2351311394</v>
      </c>
      <c r="AG227" s="30">
        <f t="shared" si="67"/>
        <v>1443414.0649248264</v>
      </c>
      <c r="AH227" s="30">
        <f t="shared" si="67"/>
        <v>1669303.5079478151</v>
      </c>
      <c r="AI227" s="30">
        <f t="shared" si="67"/>
        <v>1719382.6131862495</v>
      </c>
      <c r="AJ227" s="30">
        <f t="shared" si="67"/>
        <v>1770964.0915818375</v>
      </c>
    </row>
    <row r="228" spans="5:36" ht="13.5" hidden="1" thickBot="1">
      <c r="E228" s="167"/>
      <c r="F228" s="212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159"/>
      <c r="AG228" s="159"/>
      <c r="AH228" s="159"/>
      <c r="AI228" s="159"/>
      <c r="AJ228" s="159"/>
    </row>
    <row r="229" spans="5:36" ht="13.5" hidden="1" thickBot="1">
      <c r="E229" s="213">
        <f>ROUND(NPV($G$31,G229:AH229),-5)</f>
        <v>7000000</v>
      </c>
      <c r="F229" s="212" t="s">
        <v>188</v>
      </c>
      <c r="G229" s="30">
        <f aca="true" t="shared" si="68" ref="G229:AJ229">G210-G216</f>
        <v>1068070.261</v>
      </c>
      <c r="H229" s="30">
        <f t="shared" si="68"/>
        <v>120143.72729610652</v>
      </c>
      <c r="I229" s="30">
        <f t="shared" si="68"/>
        <v>161327.77125713555</v>
      </c>
      <c r="J229" s="30">
        <f t="shared" si="68"/>
        <v>204766.4592740445</v>
      </c>
      <c r="K229" s="30">
        <f t="shared" si="68"/>
        <v>249592.06524214707</v>
      </c>
      <c r="L229" s="30">
        <f t="shared" si="68"/>
        <v>294983.27002880303</v>
      </c>
      <c r="M229" s="159">
        <f t="shared" si="68"/>
        <v>342881.64877546695</v>
      </c>
      <c r="N229" s="159">
        <f t="shared" si="68"/>
        <v>391517.49215474795</v>
      </c>
      <c r="O229" s="159">
        <f t="shared" si="68"/>
        <v>441023.8459495057</v>
      </c>
      <c r="P229" s="159">
        <f t="shared" si="68"/>
        <v>492440.515302615</v>
      </c>
      <c r="Q229" s="159">
        <f t="shared" si="68"/>
        <v>545463.9741315474</v>
      </c>
      <c r="R229" s="159">
        <f t="shared" si="68"/>
        <v>600530.0187350533</v>
      </c>
      <c r="S229" s="159">
        <f t="shared" si="68"/>
        <v>657274.4848223082</v>
      </c>
      <c r="T229" s="159">
        <f t="shared" si="68"/>
        <v>714777.7701058593</v>
      </c>
      <c r="U229" s="159">
        <f t="shared" si="68"/>
        <v>774552.9760011407</v>
      </c>
      <c r="V229" s="159">
        <f t="shared" si="68"/>
        <v>836208.6814990602</v>
      </c>
      <c r="W229" s="159">
        <f t="shared" si="68"/>
        <v>899667.4257132658</v>
      </c>
      <c r="X229" s="159">
        <f t="shared" si="68"/>
        <v>965075.2064758891</v>
      </c>
      <c r="Y229" s="159">
        <f t="shared" si="68"/>
        <v>1032579.6851007089</v>
      </c>
      <c r="Z229" s="159">
        <f t="shared" si="68"/>
        <v>1102330.2362875957</v>
      </c>
      <c r="AA229" s="159">
        <f t="shared" si="68"/>
        <v>1173572.5150842504</v>
      </c>
      <c r="AB229" s="159">
        <f t="shared" si="68"/>
        <v>1246853.3644408607</v>
      </c>
      <c r="AC229" s="159">
        <f t="shared" si="68"/>
        <v>1322680.752771069</v>
      </c>
      <c r="AD229" s="159">
        <f t="shared" si="68"/>
        <v>1401089.1975887404</v>
      </c>
      <c r="AE229" s="159">
        <f t="shared" si="68"/>
        <v>1480797.7228318388</v>
      </c>
      <c r="AF229" s="159">
        <f t="shared" si="68"/>
        <v>1563868.6358939675</v>
      </c>
      <c r="AG229" s="159">
        <f t="shared" si="68"/>
        <v>2605750.9181339736</v>
      </c>
      <c r="AH229" s="159">
        <f t="shared" si="68"/>
        <v>3015899.847632982</v>
      </c>
      <c r="AI229" s="159">
        <f t="shared" si="68"/>
        <v>3106376.8430619715</v>
      </c>
      <c r="AJ229" s="159">
        <f t="shared" si="68"/>
        <v>3199568.1483538314</v>
      </c>
    </row>
    <row r="230" spans="5:36" ht="12.75" hidden="1">
      <c r="E230" s="224"/>
      <c r="F230" s="212" t="s">
        <v>189</v>
      </c>
      <c r="G230" s="30">
        <f>G229</f>
        <v>1068070.261</v>
      </c>
      <c r="H230" s="30">
        <f aca="true" t="shared" si="69" ref="H230:AJ230">H229+G230</f>
        <v>1188213.9882961065</v>
      </c>
      <c r="I230" s="30">
        <f t="shared" si="69"/>
        <v>1349541.759553242</v>
      </c>
      <c r="J230" s="30">
        <f t="shared" si="69"/>
        <v>1554308.2188272865</v>
      </c>
      <c r="K230" s="30">
        <f t="shared" si="69"/>
        <v>1803900.2840694336</v>
      </c>
      <c r="L230" s="30">
        <f t="shared" si="69"/>
        <v>2098883.5540982364</v>
      </c>
      <c r="M230" s="159">
        <f t="shared" si="69"/>
        <v>2441765.202873703</v>
      </c>
      <c r="N230" s="159">
        <f t="shared" si="69"/>
        <v>2833282.6950284513</v>
      </c>
      <c r="O230" s="159">
        <f t="shared" si="69"/>
        <v>3274306.5409779567</v>
      </c>
      <c r="P230" s="159">
        <f t="shared" si="69"/>
        <v>3766747.056280572</v>
      </c>
      <c r="Q230" s="159">
        <f t="shared" si="69"/>
        <v>4312211.030412119</v>
      </c>
      <c r="R230" s="159">
        <f t="shared" si="69"/>
        <v>4912741.049147172</v>
      </c>
      <c r="S230" s="159">
        <f t="shared" si="69"/>
        <v>5570015.533969481</v>
      </c>
      <c r="T230" s="159">
        <f t="shared" si="69"/>
        <v>6284793.30407534</v>
      </c>
      <c r="U230" s="159">
        <f t="shared" si="69"/>
        <v>7059346.2800764805</v>
      </c>
      <c r="V230" s="159">
        <f t="shared" si="69"/>
        <v>7895554.961575541</v>
      </c>
      <c r="W230" s="159">
        <f t="shared" si="69"/>
        <v>8795222.387288807</v>
      </c>
      <c r="X230" s="159">
        <f t="shared" si="69"/>
        <v>9760297.593764696</v>
      </c>
      <c r="Y230" s="159">
        <f t="shared" si="69"/>
        <v>10792877.278865404</v>
      </c>
      <c r="Z230" s="159">
        <f t="shared" si="69"/>
        <v>11895207.515153</v>
      </c>
      <c r="AA230" s="159">
        <f t="shared" si="69"/>
        <v>13068780.03023725</v>
      </c>
      <c r="AB230" s="159">
        <f t="shared" si="69"/>
        <v>14315633.39467811</v>
      </c>
      <c r="AC230" s="159">
        <f t="shared" si="69"/>
        <v>15638314.147449179</v>
      </c>
      <c r="AD230" s="159">
        <f t="shared" si="69"/>
        <v>17039403.34503792</v>
      </c>
      <c r="AE230" s="159">
        <f t="shared" si="69"/>
        <v>18520201.067869756</v>
      </c>
      <c r="AF230" s="159">
        <f t="shared" si="69"/>
        <v>20084069.703763723</v>
      </c>
      <c r="AG230" s="159">
        <f t="shared" si="69"/>
        <v>22689820.621897697</v>
      </c>
      <c r="AH230" s="159">
        <f t="shared" si="69"/>
        <v>25705720.46953068</v>
      </c>
      <c r="AI230" s="159">
        <f t="shared" si="69"/>
        <v>28812097.31259265</v>
      </c>
      <c r="AJ230" s="159">
        <f t="shared" si="69"/>
        <v>32011665.46094648</v>
      </c>
    </row>
    <row r="231" spans="5:36" ht="12.75" hidden="1">
      <c r="E231" s="167"/>
      <c r="F231" s="212" t="s">
        <v>190</v>
      </c>
      <c r="G231" s="21" t="e">
        <f aca="true" t="shared" si="70" ref="G231:L231">G230/G203</f>
        <v>#DIV/0!</v>
      </c>
      <c r="H231" s="21">
        <f t="shared" si="70"/>
        <v>0.9295171581315474</v>
      </c>
      <c r="I231" s="21">
        <f t="shared" si="70"/>
        <v>1.0550855407243445</v>
      </c>
      <c r="J231" s="21">
        <f t="shared" si="70"/>
        <v>1.2153891500747913</v>
      </c>
      <c r="K231" s="21">
        <f t="shared" si="70"/>
        <v>1.410906962006341</v>
      </c>
      <c r="L231" s="21">
        <f t="shared" si="70"/>
        <v>1.641044786759301</v>
      </c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59"/>
    </row>
    <row r="232" spans="5:36" ht="12.75" hidden="1">
      <c r="E232" s="167"/>
      <c r="F232" s="212" t="s">
        <v>191</v>
      </c>
      <c r="G232" s="10">
        <f aca="true" t="shared" si="71" ref="G232:AJ232">G207/G$205/12</f>
        <v>204.3513147718484</v>
      </c>
      <c r="H232" s="10">
        <f t="shared" si="71"/>
        <v>226.45159065129894</v>
      </c>
      <c r="I232" s="10">
        <f t="shared" si="71"/>
        <v>233.2451383708379</v>
      </c>
      <c r="J232" s="10">
        <f t="shared" si="71"/>
        <v>240.24249252196304</v>
      </c>
      <c r="K232" s="10">
        <f t="shared" si="71"/>
        <v>247.44976729762195</v>
      </c>
      <c r="L232" s="10">
        <f t="shared" si="71"/>
        <v>254.8732603165506</v>
      </c>
      <c r="M232" s="12">
        <f t="shared" si="71"/>
        <v>262.51945812604714</v>
      </c>
      <c r="N232" s="12">
        <f t="shared" si="71"/>
        <v>270.39504186982856</v>
      </c>
      <c r="O232" s="12">
        <f t="shared" si="71"/>
        <v>278.50689312592345</v>
      </c>
      <c r="P232" s="12">
        <f t="shared" si="71"/>
        <v>286.8620999197011</v>
      </c>
      <c r="Q232" s="12">
        <f t="shared" si="71"/>
        <v>295.46796291729214</v>
      </c>
      <c r="R232" s="12">
        <f t="shared" si="71"/>
        <v>304.33200180481094</v>
      </c>
      <c r="S232" s="12">
        <f t="shared" si="71"/>
        <v>313.46196185895525</v>
      </c>
      <c r="T232" s="12">
        <f t="shared" si="71"/>
        <v>322.86582071472395</v>
      </c>
      <c r="U232" s="12">
        <f t="shared" si="71"/>
        <v>332.5517953361657</v>
      </c>
      <c r="V232" s="12">
        <f t="shared" si="71"/>
        <v>342.5283491962507</v>
      </c>
      <c r="W232" s="12">
        <f t="shared" si="71"/>
        <v>352.80419967213817</v>
      </c>
      <c r="X232" s="12">
        <f t="shared" si="71"/>
        <v>363.3883256623024</v>
      </c>
      <c r="Y232" s="12">
        <f t="shared" si="71"/>
        <v>374.2899754321715</v>
      </c>
      <c r="Z232" s="12">
        <f t="shared" si="71"/>
        <v>385.51867469513655</v>
      </c>
      <c r="AA232" s="12">
        <f t="shared" si="71"/>
        <v>397.0842349359907</v>
      </c>
      <c r="AB232" s="12">
        <f t="shared" si="71"/>
        <v>408.9967619840704</v>
      </c>
      <c r="AC232" s="12">
        <f t="shared" si="71"/>
        <v>421.26666484359254</v>
      </c>
      <c r="AD232" s="12">
        <f t="shared" si="71"/>
        <v>433.9046647889002</v>
      </c>
      <c r="AE232" s="12">
        <f t="shared" si="71"/>
        <v>446.92180473256735</v>
      </c>
      <c r="AF232" s="12">
        <f t="shared" si="71"/>
        <v>460.3294588745444</v>
      </c>
      <c r="AG232" s="12">
        <f t="shared" si="71"/>
        <v>474.13934264078074</v>
      </c>
      <c r="AH232" s="12">
        <f t="shared" si="71"/>
        <v>488.3635229200042</v>
      </c>
      <c r="AI232" s="12">
        <f t="shared" si="71"/>
        <v>503.0144286076043</v>
      </c>
      <c r="AJ232" s="12">
        <f t="shared" si="71"/>
        <v>518.1048614658324</v>
      </c>
    </row>
    <row r="233" spans="5:36" ht="12.75" hidden="1">
      <c r="E233" s="167"/>
      <c r="F233" s="212" t="s">
        <v>192</v>
      </c>
      <c r="G233" s="10">
        <f aca="true" t="shared" si="72" ref="G233:AJ233">G208/G$205/12</f>
        <v>0</v>
      </c>
      <c r="H233" s="10">
        <f t="shared" si="72"/>
        <v>0</v>
      </c>
      <c r="I233" s="10">
        <f t="shared" si="72"/>
        <v>0</v>
      </c>
      <c r="J233" s="10">
        <f t="shared" si="72"/>
        <v>0</v>
      </c>
      <c r="K233" s="10">
        <f t="shared" si="72"/>
        <v>0</v>
      </c>
      <c r="L233" s="10">
        <f t="shared" si="72"/>
        <v>0</v>
      </c>
      <c r="M233" s="12">
        <f t="shared" si="72"/>
        <v>0</v>
      </c>
      <c r="N233" s="12">
        <f t="shared" si="72"/>
        <v>0</v>
      </c>
      <c r="O233" s="12">
        <f t="shared" si="72"/>
        <v>0</v>
      </c>
      <c r="P233" s="12">
        <f t="shared" si="72"/>
        <v>0</v>
      </c>
      <c r="Q233" s="12">
        <f t="shared" si="72"/>
        <v>0</v>
      </c>
      <c r="R233" s="12">
        <f t="shared" si="72"/>
        <v>0</v>
      </c>
      <c r="S233" s="12">
        <f t="shared" si="72"/>
        <v>0</v>
      </c>
      <c r="T233" s="12">
        <f t="shared" si="72"/>
        <v>0</v>
      </c>
      <c r="U233" s="12">
        <f t="shared" si="72"/>
        <v>0</v>
      </c>
      <c r="V233" s="12">
        <f t="shared" si="72"/>
        <v>0</v>
      </c>
      <c r="W233" s="12">
        <f t="shared" si="72"/>
        <v>0</v>
      </c>
      <c r="X233" s="12">
        <f t="shared" si="72"/>
        <v>0</v>
      </c>
      <c r="Y233" s="12">
        <f t="shared" si="72"/>
        <v>0</v>
      </c>
      <c r="Z233" s="12">
        <f t="shared" si="72"/>
        <v>0</v>
      </c>
      <c r="AA233" s="12">
        <f t="shared" si="72"/>
        <v>0</v>
      </c>
      <c r="AB233" s="12">
        <f t="shared" si="72"/>
        <v>0</v>
      </c>
      <c r="AC233" s="12">
        <f t="shared" si="72"/>
        <v>0</v>
      </c>
      <c r="AD233" s="12">
        <f t="shared" si="72"/>
        <v>0</v>
      </c>
      <c r="AE233" s="12">
        <f t="shared" si="72"/>
        <v>0</v>
      </c>
      <c r="AF233" s="12">
        <f t="shared" si="72"/>
        <v>0</v>
      </c>
      <c r="AG233" s="12">
        <f t="shared" si="72"/>
        <v>0</v>
      </c>
      <c r="AH233" s="12">
        <f t="shared" si="72"/>
        <v>0</v>
      </c>
      <c r="AI233" s="12">
        <f t="shared" si="72"/>
        <v>0</v>
      </c>
      <c r="AJ233" s="12">
        <f t="shared" si="72"/>
        <v>0</v>
      </c>
    </row>
    <row r="234" spans="5:36" ht="12.75" hidden="1">
      <c r="E234" s="167"/>
      <c r="F234" s="212" t="s">
        <v>193</v>
      </c>
      <c r="G234" s="10">
        <f aca="true" t="shared" si="73" ref="G234:AJ234">G209/G$205/12</f>
        <v>204.3513147718484</v>
      </c>
      <c r="H234" s="10">
        <f t="shared" si="73"/>
        <v>226.45159065129894</v>
      </c>
      <c r="I234" s="10">
        <f t="shared" si="73"/>
        <v>233.2451383708379</v>
      </c>
      <c r="J234" s="10">
        <f t="shared" si="73"/>
        <v>240.24249252196304</v>
      </c>
      <c r="K234" s="10">
        <f t="shared" si="73"/>
        <v>247.44976729762195</v>
      </c>
      <c r="L234" s="10">
        <f t="shared" si="73"/>
        <v>254.8732603165506</v>
      </c>
      <c r="M234" s="12">
        <f t="shared" si="73"/>
        <v>262.51945812604714</v>
      </c>
      <c r="N234" s="12">
        <f t="shared" si="73"/>
        <v>270.39504186982856</v>
      </c>
      <c r="O234" s="12">
        <f t="shared" si="73"/>
        <v>278.50689312592345</v>
      </c>
      <c r="P234" s="12">
        <f t="shared" si="73"/>
        <v>286.8620999197011</v>
      </c>
      <c r="Q234" s="12">
        <f t="shared" si="73"/>
        <v>295.46796291729214</v>
      </c>
      <c r="R234" s="12">
        <f t="shared" si="73"/>
        <v>304.33200180481094</v>
      </c>
      <c r="S234" s="12">
        <f t="shared" si="73"/>
        <v>313.46196185895525</v>
      </c>
      <c r="T234" s="12">
        <f t="shared" si="73"/>
        <v>322.86582071472395</v>
      </c>
      <c r="U234" s="12">
        <f t="shared" si="73"/>
        <v>332.5517953361657</v>
      </c>
      <c r="V234" s="12">
        <f t="shared" si="73"/>
        <v>342.5283491962507</v>
      </c>
      <c r="W234" s="12">
        <f t="shared" si="73"/>
        <v>352.80419967213817</v>
      </c>
      <c r="X234" s="12">
        <f t="shared" si="73"/>
        <v>363.3883256623024</v>
      </c>
      <c r="Y234" s="12">
        <f t="shared" si="73"/>
        <v>374.2899754321715</v>
      </c>
      <c r="Z234" s="12">
        <f t="shared" si="73"/>
        <v>385.51867469513655</v>
      </c>
      <c r="AA234" s="12">
        <f t="shared" si="73"/>
        <v>397.0842349359907</v>
      </c>
      <c r="AB234" s="12">
        <f t="shared" si="73"/>
        <v>408.9967619840704</v>
      </c>
      <c r="AC234" s="12">
        <f t="shared" si="73"/>
        <v>421.26666484359254</v>
      </c>
      <c r="AD234" s="12">
        <f t="shared" si="73"/>
        <v>433.9046647889002</v>
      </c>
      <c r="AE234" s="12">
        <f t="shared" si="73"/>
        <v>446.92180473256735</v>
      </c>
      <c r="AF234" s="12">
        <f t="shared" si="73"/>
        <v>460.3294588745444</v>
      </c>
      <c r="AG234" s="12">
        <f t="shared" si="73"/>
        <v>474.13934264078074</v>
      </c>
      <c r="AH234" s="12">
        <f t="shared" si="73"/>
        <v>488.3635229200042</v>
      </c>
      <c r="AI234" s="12">
        <f t="shared" si="73"/>
        <v>503.0144286076043</v>
      </c>
      <c r="AJ234" s="12">
        <f t="shared" si="73"/>
        <v>518.1048614658324</v>
      </c>
    </row>
    <row r="235" spans="5:36" ht="12.75" hidden="1">
      <c r="E235" s="167"/>
      <c r="F235" s="2"/>
      <c r="G235" s="10"/>
      <c r="H235" s="10"/>
      <c r="I235" s="10"/>
      <c r="J235" s="10"/>
      <c r="K235" s="10"/>
      <c r="L235" s="10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</row>
    <row r="236" spans="5:36" ht="12.75" hidden="1">
      <c r="E236" s="1"/>
      <c r="F236" s="225" t="s">
        <v>194</v>
      </c>
      <c r="G236" s="10">
        <f aca="true" t="shared" si="74" ref="G236:AJ236">G234-(G229/G$205/12)</f>
        <v>101.09626247099767</v>
      </c>
      <c r="H236" s="10">
        <f t="shared" si="74"/>
        <v>215.46149485033786</v>
      </c>
      <c r="I236" s="10">
        <f t="shared" si="74"/>
        <v>218.48774985481745</v>
      </c>
      <c r="J236" s="10">
        <f t="shared" si="74"/>
        <v>221.51156869521182</v>
      </c>
      <c r="K236" s="10">
        <f t="shared" si="74"/>
        <v>224.6184404368328</v>
      </c>
      <c r="L236" s="10">
        <f t="shared" si="74"/>
        <v>227.88979251296453</v>
      </c>
      <c r="M236" s="12">
        <f t="shared" si="74"/>
        <v>231.1545067195829</v>
      </c>
      <c r="N236" s="12">
        <f t="shared" si="74"/>
        <v>234.58114760027607</v>
      </c>
      <c r="O236" s="12">
        <f t="shared" si="74"/>
        <v>238.1644264272859</v>
      </c>
      <c r="P236" s="12">
        <f t="shared" si="74"/>
        <v>241.81631549758117</v>
      </c>
      <c r="Q236" s="12">
        <f t="shared" si="74"/>
        <v>245.5718803951967</v>
      </c>
      <c r="R236" s="12">
        <f t="shared" si="74"/>
        <v>249.39877652718076</v>
      </c>
      <c r="S236" s="12">
        <f t="shared" si="74"/>
        <v>253.3380609421689</v>
      </c>
      <c r="T236" s="12">
        <f t="shared" si="74"/>
        <v>257.4818314990398</v>
      </c>
      <c r="U236" s="12">
        <f t="shared" si="74"/>
        <v>261.6998948603936</v>
      </c>
      <c r="V236" s="12">
        <f t="shared" si="74"/>
        <v>266.0365195677234</v>
      </c>
      <c r="W236" s="12">
        <f t="shared" si="74"/>
        <v>270.5075086994648</v>
      </c>
      <c r="X236" s="12">
        <f t="shared" si="74"/>
        <v>275.1084860651666</v>
      </c>
      <c r="Y236" s="12">
        <f t="shared" si="74"/>
        <v>279.8351926750631</v>
      </c>
      <c r="Z236" s="12">
        <f t="shared" si="74"/>
        <v>284.6834902560956</v>
      </c>
      <c r="AA236" s="12">
        <f t="shared" si="74"/>
        <v>289.7321936732528</v>
      </c>
      <c r="AB236" s="12">
        <f t="shared" si="74"/>
        <v>294.9413865321073</v>
      </c>
      <c r="AC236" s="12">
        <f t="shared" si="74"/>
        <v>300.27501164462905</v>
      </c>
      <c r="AD236" s="12">
        <f t="shared" si="74"/>
        <v>305.7406328104205</v>
      </c>
      <c r="AE236" s="12">
        <f t="shared" si="74"/>
        <v>311.4664696765997</v>
      </c>
      <c r="AF236" s="12">
        <f t="shared" si="74"/>
        <v>317.27524776093594</v>
      </c>
      <c r="AG236" s="12">
        <f t="shared" si="74"/>
        <v>235.77939769621676</v>
      </c>
      <c r="AH236" s="12">
        <f t="shared" si="74"/>
        <v>212.48538098504423</v>
      </c>
      <c r="AI236" s="12">
        <f t="shared" si="74"/>
        <v>218.8599424145956</v>
      </c>
      <c r="AJ236" s="12">
        <f t="shared" si="74"/>
        <v>225.42574068703334</v>
      </c>
    </row>
    <row r="237" spans="5:36" ht="12.75" hidden="1">
      <c r="E237" s="1"/>
      <c r="F237" s="225" t="s">
        <v>195</v>
      </c>
      <c r="G237" s="10">
        <f aca="true" t="shared" si="75" ref="G237:AJ237">G236/(1+0.03)^(G202-2004)</f>
        <v>92.51740139211137</v>
      </c>
      <c r="H237" s="10">
        <f t="shared" si="75"/>
        <v>191.4347474990781</v>
      </c>
      <c r="I237" s="10">
        <f t="shared" si="75"/>
        <v>188.46945230509542</v>
      </c>
      <c r="J237" s="10">
        <f t="shared" si="75"/>
        <v>185.51245145553972</v>
      </c>
      <c r="K237" s="10">
        <f t="shared" si="75"/>
        <v>182.63534721037146</v>
      </c>
      <c r="L237" s="10">
        <f t="shared" si="75"/>
        <v>179.89830661562104</v>
      </c>
      <c r="M237" s="12">
        <f t="shared" si="75"/>
        <v>177.16068170652568</v>
      </c>
      <c r="N237" s="12">
        <f t="shared" si="75"/>
        <v>174.55040447885594</v>
      </c>
      <c r="O237" s="12">
        <f t="shared" si="75"/>
        <v>172.05504898001186</v>
      </c>
      <c r="P237" s="12">
        <f t="shared" si="75"/>
        <v>169.6050983923997</v>
      </c>
      <c r="Q237" s="12">
        <f t="shared" si="75"/>
        <v>167.22250101975362</v>
      </c>
      <c r="R237" s="12">
        <f t="shared" si="75"/>
        <v>164.8819719114979</v>
      </c>
      <c r="S237" s="12">
        <f t="shared" si="75"/>
        <v>162.60806114604887</v>
      </c>
      <c r="T237" s="12">
        <f t="shared" si="75"/>
        <v>160.45416484004588</v>
      </c>
      <c r="U237" s="12">
        <f t="shared" si="75"/>
        <v>158.33274026638566</v>
      </c>
      <c r="V237" s="12">
        <f t="shared" si="75"/>
        <v>156.26841702308442</v>
      </c>
      <c r="W237" s="12">
        <f t="shared" si="75"/>
        <v>154.26665235901</v>
      </c>
      <c r="X237" s="12">
        <f t="shared" si="75"/>
        <v>152.32089850519193</v>
      </c>
      <c r="Y237" s="12">
        <f t="shared" si="75"/>
        <v>150.42520519635335</v>
      </c>
      <c r="Z237" s="12">
        <f t="shared" si="75"/>
        <v>148.5741786897369</v>
      </c>
      <c r="AA237" s="12">
        <f t="shared" si="75"/>
        <v>146.80491178867138</v>
      </c>
      <c r="AB237" s="12">
        <f t="shared" si="75"/>
        <v>145.091618277895</v>
      </c>
      <c r="AC237" s="12">
        <f t="shared" si="75"/>
        <v>143.41301787158454</v>
      </c>
      <c r="AD237" s="12">
        <f t="shared" si="75"/>
        <v>141.7703193979038</v>
      </c>
      <c r="AE237" s="12">
        <f t="shared" si="75"/>
        <v>140.2187958863341</v>
      </c>
      <c r="AF237" s="12">
        <f t="shared" si="75"/>
        <v>138.6736351526922</v>
      </c>
      <c r="AG237" s="12">
        <f t="shared" si="75"/>
        <v>100.05212971800093</v>
      </c>
      <c r="AH237" s="12">
        <f t="shared" si="75"/>
        <v>87.54116355653127</v>
      </c>
      <c r="AI237" s="12">
        <f t="shared" si="75"/>
        <v>87.54116355653127</v>
      </c>
      <c r="AJ237" s="12">
        <f t="shared" si="75"/>
        <v>87.54116355653125</v>
      </c>
    </row>
    <row r="238" spans="5:36" ht="12.75" hidden="1">
      <c r="E238" s="1"/>
      <c r="F238" s="225"/>
      <c r="G238" s="30"/>
      <c r="H238" s="30"/>
      <c r="I238" s="30"/>
      <c r="J238" s="30"/>
      <c r="K238" s="30"/>
      <c r="L238" s="30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59"/>
    </row>
    <row r="239" spans="5:36" ht="12.75" hidden="1">
      <c r="E239" s="1"/>
      <c r="F239" s="225"/>
      <c r="G239" s="30"/>
      <c r="H239" s="30"/>
      <c r="I239" s="30"/>
      <c r="J239" s="30"/>
      <c r="K239" s="30"/>
      <c r="L239" s="30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  <c r="AC239" s="159"/>
      <c r="AD239" s="159"/>
      <c r="AE239" s="159"/>
      <c r="AF239" s="159"/>
      <c r="AG239" s="159"/>
      <c r="AH239" s="159"/>
      <c r="AI239" s="159"/>
      <c r="AJ239" s="159"/>
    </row>
    <row r="240" spans="5:36" ht="12.75" hidden="1">
      <c r="E240" s="1" t="s">
        <v>196</v>
      </c>
      <c r="F240" s="225"/>
      <c r="G240" s="30"/>
      <c r="H240" s="30"/>
      <c r="I240" s="30"/>
      <c r="J240" s="30"/>
      <c r="K240" s="30"/>
      <c r="L240" s="30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59"/>
      <c r="AC240" s="159"/>
      <c r="AD240" s="159"/>
      <c r="AE240" s="159"/>
      <c r="AF240" s="159"/>
      <c r="AG240" s="159"/>
      <c r="AH240" s="159"/>
      <c r="AI240" s="159"/>
      <c r="AJ240" s="159"/>
    </row>
    <row r="241" spans="5:36" ht="12.75" hidden="1">
      <c r="E241" s="41">
        <f>G241/(1+'[1]WR Parking Model'!$C$25)^3</f>
        <v>204</v>
      </c>
      <c r="F241" s="225" t="s">
        <v>197</v>
      </c>
      <c r="G241" s="226">
        <f>'[1]WR Parking Model'!$F$24*(1+'[1]WR Parking Model'!$C$25)^(G$202-2004)</f>
        <v>222.91630800000001</v>
      </c>
      <c r="H241" s="226">
        <f>'[1]WR Parking Model'!$F$24*(1+'[1]WR Parking Model'!$C$25)^(H$202-2004)</f>
        <v>229.60379723999998</v>
      </c>
      <c r="I241" s="226">
        <f>'[1]WR Parking Model'!$F$24*(1+'[1]WR Parking Model'!$C$25)^(I$202-2004)</f>
        <v>236.49191115719998</v>
      </c>
      <c r="J241" s="226">
        <f>'[1]WR Parking Model'!$F$24*(1+'[1]WR Parking Model'!$C$25)^(J$202-2004)</f>
        <v>243.586668491916</v>
      </c>
      <c r="K241" s="226">
        <f>'[1]WR Parking Model'!$F$24*(1+'[1]WR Parking Model'!$C$25)^(K$202-2004)</f>
        <v>250.8942685466735</v>
      </c>
      <c r="L241" s="226">
        <f>'[1]WR Parking Model'!$F$24*(1+'[1]WR Parking Model'!$C$25)^(L$202-2004)</f>
        <v>258.42109660307364</v>
      </c>
      <c r="M241" s="227">
        <f>'[1]WR Parking Model'!$F$24*(1+'[1]WR Parking Model'!$C$25)^(M$202-2004)</f>
        <v>266.1737295011659</v>
      </c>
      <c r="N241" s="227">
        <f>'[1]WR Parking Model'!$F$24*(1+'[1]WR Parking Model'!$C$25)^(N$202-2004)</f>
        <v>274.15894138620087</v>
      </c>
      <c r="O241" s="227">
        <f>'[1]WR Parking Model'!$F$24*(1+'[1]WR Parking Model'!$C$25)^(O$202-2004)</f>
        <v>282.38370962778686</v>
      </c>
      <c r="P241" s="227">
        <f>'[1]WR Parking Model'!$F$24*(1+'[1]WR Parking Model'!$C$25)^(P$202-2004)</f>
        <v>290.85522091662045</v>
      </c>
      <c r="Q241" s="227">
        <f>'[1]WR Parking Model'!$F$24*(1+'[1]WR Parking Model'!$C$25)^(Q$202-2004)</f>
        <v>299.58087754411906</v>
      </c>
      <c r="R241" s="227">
        <f>'[1]WR Parking Model'!$F$24*(1+'[1]WR Parking Model'!$C$25)^(R$202-2004)</f>
        <v>308.56830387044266</v>
      </c>
      <c r="S241" s="227">
        <f>'[1]WR Parking Model'!$F$24*(1+'[1]WR Parking Model'!$C$25)^(S$202-2004)</f>
        <v>317.82535298655597</v>
      </c>
      <c r="T241" s="227">
        <f>'[1]WR Parking Model'!$F$24*(1+'[1]WR Parking Model'!$C$25)^(T$202-2004)</f>
        <v>327.36011357615257</v>
      </c>
      <c r="U241" s="227">
        <f>'[1]WR Parking Model'!$F$24*(1+'[1]WR Parking Model'!$C$25)^(U$202-2004)</f>
        <v>337.18091698343716</v>
      </c>
      <c r="V241" s="227">
        <f>'[1]WR Parking Model'!$F$24*(1+'[1]WR Parking Model'!$C$25)^(V$202-2004)</f>
        <v>347.29634449294025</v>
      </c>
      <c r="W241" s="227">
        <f>'[1]WR Parking Model'!$F$24*(1+'[1]WR Parking Model'!$C$25)^(W$202-2004)</f>
        <v>357.71523482772847</v>
      </c>
      <c r="X241" s="227">
        <f>'[1]WR Parking Model'!$F$24*(1+'[1]WR Parking Model'!$C$25)^(X$202-2004)</f>
        <v>368.4466918725603</v>
      </c>
      <c r="Y241" s="227">
        <f>'[1]WR Parking Model'!$F$24*(1+'[1]WR Parking Model'!$C$25)^(Y$202-2004)</f>
        <v>379.5000926287371</v>
      </c>
      <c r="Z241" s="227">
        <f>'[1]WR Parking Model'!$F$24*(1+'[1]WR Parking Model'!$C$25)^(Z$202-2004)</f>
        <v>390.88509540759924</v>
      </c>
      <c r="AA241" s="227">
        <f>'[1]WR Parking Model'!$F$24*(1+'[1]WR Parking Model'!$C$25)^(AA$202-2004)</f>
        <v>402.61164826982724</v>
      </c>
      <c r="AB241" s="227">
        <f>'[1]WR Parking Model'!$F$24*(1+'[1]WR Parking Model'!$C$25)^(AB$202-2004)</f>
        <v>414.689997717922</v>
      </c>
      <c r="AC241" s="227">
        <f>'[1]WR Parking Model'!$F$24*(1+'[1]WR Parking Model'!$C$25)^(AC$202-2004)</f>
        <v>427.13069764945965</v>
      </c>
      <c r="AD241" s="227">
        <f>'[1]WR Parking Model'!$F$24*(1+'[1]WR Parking Model'!$C$25)^(AD$202-2004)</f>
        <v>439.94461857894345</v>
      </c>
      <c r="AE241" s="227">
        <f>'[1]WR Parking Model'!$F$24*(1+'[1]WR Parking Model'!$C$25)^(AE$202-2004)</f>
        <v>453.14295713631174</v>
      </c>
      <c r="AF241" s="227">
        <f>'[1]WR Parking Model'!$F$24*(1+'[1]WR Parking Model'!$C$25)^(AF$202-2004)</f>
        <v>466.73724585040105</v>
      </c>
      <c r="AG241" s="227">
        <f>'[1]WR Parking Model'!$F$24*(1+'[1]WR Parking Model'!$C$25)^(AG$202-2004)</f>
        <v>480.73936322591305</v>
      </c>
      <c r="AH241" s="227">
        <f>'[1]WR Parking Model'!$F$24*(1+'[1]WR Parking Model'!$C$25)^(AH$202-2004)</f>
        <v>495.16154412269043</v>
      </c>
      <c r="AI241" s="227">
        <f>'[1]WR Parking Model'!$F$24*(1+'[1]WR Parking Model'!$C$25)^(AI$202-2004)</f>
        <v>510.01639044637125</v>
      </c>
      <c r="AJ241" s="227">
        <f>'[1]WR Parking Model'!$F$24*(1+'[1]WR Parking Model'!$C$25)^(AJ$202-2004)</f>
        <v>525.3168821597623</v>
      </c>
    </row>
    <row r="242" spans="5:36" ht="12.75" hidden="1">
      <c r="E242" s="41">
        <f>G242/(1+'[1]WR Parking Model'!$C$25)^3</f>
        <v>177.3913043478261</v>
      </c>
      <c r="F242" s="225" t="s">
        <v>198</v>
      </c>
      <c r="G242" s="226">
        <f>'[1]WR Parking Model'!$E$24*(1+'[1]WR Parking Model'!$C$25)^(G$202-2004)</f>
        <v>193.84026782608697</v>
      </c>
      <c r="H242" s="226">
        <f>'[1]WR Parking Model'!$E$24*(1+'[1]WR Parking Model'!$C$25)^(H$202-2004)</f>
        <v>199.65547586086956</v>
      </c>
      <c r="I242" s="226">
        <f>'[1]WR Parking Model'!$E$24*(1+'[1]WR Parking Model'!$C$25)^(I$202-2004)</f>
        <v>205.64514013669563</v>
      </c>
      <c r="J242" s="226">
        <f>'[1]WR Parking Model'!$E$24*(1+'[1]WR Parking Model'!$C$25)^(J$202-2004)</f>
        <v>211.8144943407965</v>
      </c>
      <c r="K242" s="226">
        <f>'[1]WR Parking Model'!$E$24*(1+'[1]WR Parking Model'!$C$25)^(K$202-2004)</f>
        <v>218.1689291710204</v>
      </c>
      <c r="L242" s="226">
        <f>'[1]WR Parking Model'!$E$24*(1+'[1]WR Parking Model'!$C$25)^(L$202-2004)</f>
        <v>224.713997046151</v>
      </c>
      <c r="M242" s="227">
        <f>'[1]WR Parking Model'!$E$24*(1+'[1]WR Parking Model'!$C$25)^(M$202-2004)</f>
        <v>231.45541695753553</v>
      </c>
      <c r="N242" s="227">
        <f>'[1]WR Parking Model'!$E$24*(1+'[1]WR Parking Model'!$C$25)^(N$202-2004)</f>
        <v>238.3990794662616</v>
      </c>
      <c r="O242" s="227">
        <f>'[1]WR Parking Model'!$E$24*(1+'[1]WR Parking Model'!$C$25)^(O$202-2004)</f>
        <v>245.55105185024948</v>
      </c>
      <c r="P242" s="227">
        <f>'[1]WR Parking Model'!$E$24*(1+'[1]WR Parking Model'!$C$25)^(P$202-2004)</f>
        <v>252.91758340575691</v>
      </c>
      <c r="Q242" s="227">
        <f>'[1]WR Parking Model'!$E$24*(1+'[1]WR Parking Model'!$C$25)^(Q$202-2004)</f>
        <v>260.50511090792963</v>
      </c>
      <c r="R242" s="227">
        <f>'[1]WR Parking Model'!$E$24*(1+'[1]WR Parking Model'!$C$25)^(R$202-2004)</f>
        <v>268.32026423516754</v>
      </c>
      <c r="S242" s="227">
        <f>'[1]WR Parking Model'!$E$24*(1+'[1]WR Parking Model'!$C$25)^(S$202-2004)</f>
        <v>276.3698721622226</v>
      </c>
      <c r="T242" s="227">
        <f>'[1]WR Parking Model'!$E$24*(1+'[1]WR Parking Model'!$C$25)^(T$202-2004)</f>
        <v>284.6609683270892</v>
      </c>
      <c r="U242" s="227">
        <f>'[1]WR Parking Model'!$E$24*(1+'[1]WR Parking Model'!$C$25)^(U$202-2004)</f>
        <v>293.20079737690185</v>
      </c>
      <c r="V242" s="227">
        <f>'[1]WR Parking Model'!$E$24*(1+'[1]WR Parking Model'!$C$25)^(V$202-2004)</f>
        <v>301.99682129820894</v>
      </c>
      <c r="W242" s="227">
        <f>'[1]WR Parking Model'!$E$24*(1+'[1]WR Parking Model'!$C$25)^(W$202-2004)</f>
        <v>311.0567259371552</v>
      </c>
      <c r="X242" s="227">
        <f>'[1]WR Parking Model'!$E$24*(1+'[1]WR Parking Model'!$C$25)^(X$202-2004)</f>
        <v>320.3884277152698</v>
      </c>
      <c r="Y242" s="227">
        <f>'[1]WR Parking Model'!$E$24*(1+'[1]WR Parking Model'!$C$25)^(Y$202-2004)</f>
        <v>330.0000805467279</v>
      </c>
      <c r="Z242" s="227">
        <f>'[1]WR Parking Model'!$E$24*(1+'[1]WR Parking Model'!$C$25)^(Z$202-2004)</f>
        <v>339.90008296312976</v>
      </c>
      <c r="AA242" s="227">
        <f>'[1]WR Parking Model'!$E$24*(1+'[1]WR Parking Model'!$C$25)^(AA$202-2004)</f>
        <v>350.0970854520237</v>
      </c>
      <c r="AB242" s="227">
        <f>'[1]WR Parking Model'!$E$24*(1+'[1]WR Parking Model'!$C$25)^(AB$202-2004)</f>
        <v>360.59999801558433</v>
      </c>
      <c r="AC242" s="227">
        <f>'[1]WR Parking Model'!$E$24*(1+'[1]WR Parking Model'!$C$25)^(AC$202-2004)</f>
        <v>371.41799795605186</v>
      </c>
      <c r="AD242" s="227">
        <f>'[1]WR Parking Model'!$E$24*(1+'[1]WR Parking Model'!$C$25)^(AD$202-2004)</f>
        <v>382.56053789473344</v>
      </c>
      <c r="AE242" s="227">
        <f>'[1]WR Parking Model'!$E$24*(1+'[1]WR Parking Model'!$C$25)^(AE$202-2004)</f>
        <v>394.03735403157543</v>
      </c>
      <c r="AF242" s="227">
        <f>'[1]WR Parking Model'!$E$24*(1+'[1]WR Parking Model'!$C$25)^(AF$202-2004)</f>
        <v>405.8584746525227</v>
      </c>
      <c r="AG242" s="227">
        <f>'[1]WR Parking Model'!$E$24*(1+'[1]WR Parking Model'!$C$25)^(AG$202-2004)</f>
        <v>418.0342288920983</v>
      </c>
      <c r="AH242" s="227">
        <f>'[1]WR Parking Model'!$E$24*(1+'[1]WR Parking Model'!$C$25)^(AH$202-2004)</f>
        <v>430.57525575886126</v>
      </c>
      <c r="AI242" s="227">
        <f>'[1]WR Parking Model'!$E$24*(1+'[1]WR Parking Model'!$C$25)^(AI$202-2004)</f>
        <v>443.4925134316272</v>
      </c>
      <c r="AJ242" s="227">
        <f>'[1]WR Parking Model'!$E$24*(1+'[1]WR Parking Model'!$C$25)^(AJ$202-2004)</f>
        <v>456.7972888345759</v>
      </c>
    </row>
    <row r="243" spans="5:36" ht="12.75" hidden="1">
      <c r="E243" s="228">
        <f>'[1]WR Parking Model'!C55</f>
        <v>0.15</v>
      </c>
      <c r="F243" s="225" t="s">
        <v>199</v>
      </c>
      <c r="G243" s="214"/>
      <c r="H243" s="30"/>
      <c r="I243" s="30"/>
      <c r="J243" s="30"/>
      <c r="K243" s="30"/>
      <c r="L243" s="30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59"/>
    </row>
    <row r="244" spans="5:36" ht="12.75" hidden="1">
      <c r="E244" s="1"/>
      <c r="F244" s="225" t="s">
        <v>200</v>
      </c>
      <c r="G244" s="30">
        <f aca="true" t="shared" si="76" ref="G244:AJ244">-$G$203*0.5+G230</f>
        <v>1068070.261</v>
      </c>
      <c r="H244" s="30">
        <f t="shared" si="76"/>
        <v>1188213.9882961065</v>
      </c>
      <c r="I244" s="30">
        <f t="shared" si="76"/>
        <v>1349541.759553242</v>
      </c>
      <c r="J244" s="30">
        <f t="shared" si="76"/>
        <v>1554308.2188272865</v>
      </c>
      <c r="K244" s="30">
        <f t="shared" si="76"/>
        <v>1803900.2840694336</v>
      </c>
      <c r="L244" s="30">
        <f t="shared" si="76"/>
        <v>2098883.5540982364</v>
      </c>
      <c r="M244" s="30">
        <f t="shared" si="76"/>
        <v>2441765.202873703</v>
      </c>
      <c r="N244" s="30">
        <f t="shared" si="76"/>
        <v>2833282.6950284513</v>
      </c>
      <c r="O244" s="30">
        <f t="shared" si="76"/>
        <v>3274306.5409779567</v>
      </c>
      <c r="P244" s="30">
        <f t="shared" si="76"/>
        <v>3766747.056280572</v>
      </c>
      <c r="Q244" s="30">
        <f t="shared" si="76"/>
        <v>4312211.030412119</v>
      </c>
      <c r="R244" s="30">
        <f t="shared" si="76"/>
        <v>4912741.049147172</v>
      </c>
      <c r="S244" s="30">
        <f t="shared" si="76"/>
        <v>5570015.533969481</v>
      </c>
      <c r="T244" s="30">
        <f t="shared" si="76"/>
        <v>6284793.30407534</v>
      </c>
      <c r="U244" s="30">
        <f t="shared" si="76"/>
        <v>7059346.2800764805</v>
      </c>
      <c r="V244" s="30">
        <f t="shared" si="76"/>
        <v>7895554.961575541</v>
      </c>
      <c r="W244" s="30">
        <f t="shared" si="76"/>
        <v>8795222.387288807</v>
      </c>
      <c r="X244" s="30">
        <f t="shared" si="76"/>
        <v>9760297.593764696</v>
      </c>
      <c r="Y244" s="30">
        <f t="shared" si="76"/>
        <v>10792877.278865404</v>
      </c>
      <c r="Z244" s="30">
        <f t="shared" si="76"/>
        <v>11895207.515153</v>
      </c>
      <c r="AA244" s="30">
        <f t="shared" si="76"/>
        <v>13068780.03023725</v>
      </c>
      <c r="AB244" s="30">
        <f t="shared" si="76"/>
        <v>14315633.39467811</v>
      </c>
      <c r="AC244" s="30">
        <f t="shared" si="76"/>
        <v>15638314.147449179</v>
      </c>
      <c r="AD244" s="30">
        <f t="shared" si="76"/>
        <v>17039403.34503792</v>
      </c>
      <c r="AE244" s="30">
        <f t="shared" si="76"/>
        <v>18520201.067869756</v>
      </c>
      <c r="AF244" s="30">
        <f t="shared" si="76"/>
        <v>20084069.703763723</v>
      </c>
      <c r="AG244" s="30">
        <f t="shared" si="76"/>
        <v>22689820.621897697</v>
      </c>
      <c r="AH244" s="30">
        <f t="shared" si="76"/>
        <v>25705720.46953068</v>
      </c>
      <c r="AI244" s="30">
        <f t="shared" si="76"/>
        <v>28812097.31259265</v>
      </c>
      <c r="AJ244" s="30">
        <f t="shared" si="76"/>
        <v>32011665.46094648</v>
      </c>
    </row>
    <row r="245" spans="5:36" ht="12.75" hidden="1">
      <c r="E245" s="1"/>
      <c r="F245" s="225" t="s">
        <v>201</v>
      </c>
      <c r="G245" s="30">
        <f aca="true" t="shared" si="77" ref="G245:AJ245">IF(G244&gt;0,G244,0)</f>
        <v>1068070.261</v>
      </c>
      <c r="H245" s="30">
        <f t="shared" si="77"/>
        <v>1188213.9882961065</v>
      </c>
      <c r="I245" s="30">
        <f t="shared" si="77"/>
        <v>1349541.759553242</v>
      </c>
      <c r="J245" s="30">
        <f t="shared" si="77"/>
        <v>1554308.2188272865</v>
      </c>
      <c r="K245" s="30">
        <f t="shared" si="77"/>
        <v>1803900.2840694336</v>
      </c>
      <c r="L245" s="30">
        <f t="shared" si="77"/>
        <v>2098883.5540982364</v>
      </c>
      <c r="M245" s="30">
        <f t="shared" si="77"/>
        <v>2441765.202873703</v>
      </c>
      <c r="N245" s="30">
        <f t="shared" si="77"/>
        <v>2833282.6950284513</v>
      </c>
      <c r="O245" s="30">
        <f t="shared" si="77"/>
        <v>3274306.5409779567</v>
      </c>
      <c r="P245" s="30">
        <f t="shared" si="77"/>
        <v>3766747.056280572</v>
      </c>
      <c r="Q245" s="30">
        <f t="shared" si="77"/>
        <v>4312211.030412119</v>
      </c>
      <c r="R245" s="30">
        <f t="shared" si="77"/>
        <v>4912741.049147172</v>
      </c>
      <c r="S245" s="30">
        <f t="shared" si="77"/>
        <v>5570015.533969481</v>
      </c>
      <c r="T245" s="30">
        <f t="shared" si="77"/>
        <v>6284793.30407534</v>
      </c>
      <c r="U245" s="30">
        <f t="shared" si="77"/>
        <v>7059346.2800764805</v>
      </c>
      <c r="V245" s="30">
        <f t="shared" si="77"/>
        <v>7895554.961575541</v>
      </c>
      <c r="W245" s="30">
        <f t="shared" si="77"/>
        <v>8795222.387288807</v>
      </c>
      <c r="X245" s="30">
        <f t="shared" si="77"/>
        <v>9760297.593764696</v>
      </c>
      <c r="Y245" s="30">
        <f t="shared" si="77"/>
        <v>10792877.278865404</v>
      </c>
      <c r="Z245" s="30">
        <f t="shared" si="77"/>
        <v>11895207.515153</v>
      </c>
      <c r="AA245" s="30">
        <f t="shared" si="77"/>
        <v>13068780.03023725</v>
      </c>
      <c r="AB245" s="30">
        <f t="shared" si="77"/>
        <v>14315633.39467811</v>
      </c>
      <c r="AC245" s="30">
        <f t="shared" si="77"/>
        <v>15638314.147449179</v>
      </c>
      <c r="AD245" s="30">
        <f t="shared" si="77"/>
        <v>17039403.34503792</v>
      </c>
      <c r="AE245" s="30">
        <f t="shared" si="77"/>
        <v>18520201.067869756</v>
      </c>
      <c r="AF245" s="30">
        <f t="shared" si="77"/>
        <v>20084069.703763723</v>
      </c>
      <c r="AG245" s="30">
        <f t="shared" si="77"/>
        <v>22689820.621897697</v>
      </c>
      <c r="AH245" s="30">
        <f t="shared" si="77"/>
        <v>25705720.46953068</v>
      </c>
      <c r="AI245" s="30">
        <f t="shared" si="77"/>
        <v>28812097.31259265</v>
      </c>
      <c r="AJ245" s="30">
        <f t="shared" si="77"/>
        <v>32011665.46094648</v>
      </c>
    </row>
    <row r="246" spans="5:37" ht="12.75" hidden="1">
      <c r="E246" s="1"/>
      <c r="F246" s="225" t="s">
        <v>202</v>
      </c>
      <c r="G246" s="30">
        <f>G245</f>
        <v>1068070.261</v>
      </c>
      <c r="H246" s="30">
        <f>H245-G246</f>
        <v>120143.72729610652</v>
      </c>
      <c r="I246" s="30">
        <f>I245-H246</f>
        <v>1229398.0322571355</v>
      </c>
      <c r="J246" s="30">
        <f>J245-I246</f>
        <v>324910.186570151</v>
      </c>
      <c r="K246" s="30">
        <f>K245-J246</f>
        <v>1478990.0974992826</v>
      </c>
      <c r="L246" s="30">
        <f>L245-SUM($I246:K246)</f>
        <v>-934414.7622283325</v>
      </c>
      <c r="M246" s="30">
        <f>M245-SUM($I246:L246)</f>
        <v>342881.6487754667</v>
      </c>
      <c r="N246" s="30">
        <f>N245-SUM($I246:M246)</f>
        <v>391517.4921547482</v>
      </c>
      <c r="O246" s="30">
        <f>O245-SUM($I246:N246)</f>
        <v>441023.84594950546</v>
      </c>
      <c r="P246" s="30">
        <f>P245-SUM($I246:O246)</f>
        <v>492440.51530261524</v>
      </c>
      <c r="Q246" s="30">
        <f>Q245-SUM($I246:P246)</f>
        <v>545463.9741315469</v>
      </c>
      <c r="R246" s="30">
        <f>R245-SUM($I246:Q246)</f>
        <v>600530.018735053</v>
      </c>
      <c r="S246" s="30">
        <f>S245-SUM($I246:R246)</f>
        <v>657274.4848223086</v>
      </c>
      <c r="T246" s="30">
        <f>T245-SUM($I246:S246)</f>
        <v>714777.7701058593</v>
      </c>
      <c r="U246" s="30">
        <f>U245-SUM($I246:T246)</f>
        <v>774552.9760011407</v>
      </c>
      <c r="V246" s="30">
        <f>V245-SUM($I246:U246)</f>
        <v>836208.6814990602</v>
      </c>
      <c r="W246" s="30">
        <f>W245-SUM($I246:V246)</f>
        <v>899667.4257132662</v>
      </c>
      <c r="X246" s="30">
        <f>X245-SUM($I246:W246)</f>
        <v>965075.2064758893</v>
      </c>
      <c r="Y246" s="30">
        <f>Y245-SUM($I246:X246)</f>
        <v>1032579.6851007082</v>
      </c>
      <c r="Z246" s="30">
        <f>Z245-SUM($I246:Y246)</f>
        <v>1102330.2362875957</v>
      </c>
      <c r="AA246" s="30">
        <f>AA245-SUM($I246:Z246)</f>
        <v>1173572.51508425</v>
      </c>
      <c r="AB246" s="30">
        <f>AB245-SUM($I246:AA246)</f>
        <v>1246853.3644408602</v>
      </c>
      <c r="AC246" s="30">
        <f>AC245-SUM($I246:AB246)</f>
        <v>1322680.7527710684</v>
      </c>
      <c r="AD246" s="30">
        <f>AD245-SUM($I246:AC246)</f>
        <v>1401089.19758874</v>
      </c>
      <c r="AE246" s="30">
        <f>AE245-SUM($I246:AD246)</f>
        <v>1480797.7228318378</v>
      </c>
      <c r="AF246" s="30">
        <f>AF245-SUM($I246:AE246)</f>
        <v>1563868.635893967</v>
      </c>
      <c r="AG246" s="30">
        <f>AG245-SUM($I246:AF246)</f>
        <v>2605750.918133974</v>
      </c>
      <c r="AH246" s="30">
        <f>AH245-SUM($I246:AG246)</f>
        <v>3015899.847632982</v>
      </c>
      <c r="AI246" s="30">
        <f>AI245-SUM($I246:AH246)</f>
        <v>3106376.8430619724</v>
      </c>
      <c r="AJ246" s="30">
        <f>AJ245-SUM($I246:AI246)</f>
        <v>3199568.14835383</v>
      </c>
      <c r="AK246" s="159">
        <f>SUM(G246:AJ246)</f>
        <v>33199879.44924259</v>
      </c>
    </row>
    <row r="247" spans="5:37" ht="12.75" hidden="1">
      <c r="E247" s="1"/>
      <c r="F247" s="225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159"/>
    </row>
    <row r="248" spans="5:37" ht="12.75" hidden="1">
      <c r="E248" s="1"/>
      <c r="F248" s="225" t="s">
        <v>203</v>
      </c>
      <c r="G248" s="21">
        <f>G214/G216</f>
        <v>0.5454545454545454</v>
      </c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159"/>
    </row>
    <row r="249" spans="5:37" ht="12.75" hidden="1">
      <c r="E249" s="1"/>
      <c r="F249" s="225" t="s">
        <v>204</v>
      </c>
      <c r="G249" s="21">
        <f>G215/G216</f>
        <v>0.4545454545454546</v>
      </c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159"/>
    </row>
    <row r="250" spans="5:37" ht="12.75" hidden="1">
      <c r="E250" s="1"/>
      <c r="F250" s="225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159"/>
    </row>
    <row r="251" spans="5:63" ht="12.75">
      <c r="E251" s="1"/>
      <c r="F251" s="225" t="s">
        <v>205</v>
      </c>
      <c r="G251" s="229">
        <f aca="true" t="shared" si="78" ref="G251:AJ251">G236/G234</f>
        <v>0.4947179448484017</v>
      </c>
      <c r="H251" s="229">
        <f t="shared" si="78"/>
        <v>0.9514682331470828</v>
      </c>
      <c r="I251" s="229">
        <f t="shared" si="78"/>
        <v>0.9367301345738765</v>
      </c>
      <c r="J251" s="229">
        <f t="shared" si="78"/>
        <v>0.9220332605188949</v>
      </c>
      <c r="K251" s="229">
        <f t="shared" si="78"/>
        <v>0.9077334882544924</v>
      </c>
      <c r="L251" s="229">
        <f t="shared" si="78"/>
        <v>0.894129859797482</v>
      </c>
      <c r="M251" s="230">
        <f t="shared" si="78"/>
        <v>0.8805233271836005</v>
      </c>
      <c r="N251" s="230">
        <f t="shared" si="78"/>
        <v>0.8675497375177695</v>
      </c>
      <c r="O251" s="230">
        <f t="shared" si="78"/>
        <v>0.8551473313789859</v>
      </c>
      <c r="P251" s="230">
        <f t="shared" si="78"/>
        <v>0.8429705965523879</v>
      </c>
      <c r="Q251" s="230">
        <f t="shared" si="78"/>
        <v>0.8311286204113356</v>
      </c>
      <c r="R251" s="230">
        <f t="shared" si="78"/>
        <v>0.8194957317933897</v>
      </c>
      <c r="S251" s="230">
        <f t="shared" si="78"/>
        <v>0.8081939494022576</v>
      </c>
      <c r="T251" s="230">
        <f t="shared" si="78"/>
        <v>0.7974886624079798</v>
      </c>
      <c r="U251" s="230">
        <f t="shared" si="78"/>
        <v>0.7869447662907662</v>
      </c>
      <c r="V251" s="230">
        <f t="shared" si="78"/>
        <v>0.7766846749823283</v>
      </c>
      <c r="W251" s="230">
        <f t="shared" si="78"/>
        <v>0.7667355120796411</v>
      </c>
      <c r="X251" s="230">
        <f t="shared" si="78"/>
        <v>0.757064733886981</v>
      </c>
      <c r="Y251" s="230">
        <f t="shared" si="78"/>
        <v>0.7476427664191466</v>
      </c>
      <c r="Z251" s="230">
        <f t="shared" si="78"/>
        <v>0.7384428017169851</v>
      </c>
      <c r="AA251" s="230">
        <f t="shared" si="78"/>
        <v>0.7296491982864974</v>
      </c>
      <c r="AB251" s="230">
        <f t="shared" si="78"/>
        <v>0.7211337935814628</v>
      </c>
      <c r="AC251" s="230">
        <f t="shared" si="78"/>
        <v>0.7127908204085288</v>
      </c>
      <c r="AD251" s="230">
        <f t="shared" si="78"/>
        <v>0.7046262868807067</v>
      </c>
      <c r="AE251" s="230">
        <f t="shared" si="78"/>
        <v>0.6969149107929014</v>
      </c>
      <c r="AF251" s="230">
        <f t="shared" si="78"/>
        <v>0.6892351589590627</v>
      </c>
      <c r="AG251" s="230">
        <f t="shared" si="78"/>
        <v>0.4972787037308753</v>
      </c>
      <c r="AH251" s="230">
        <f t="shared" si="78"/>
        <v>0.43509674865673814</v>
      </c>
      <c r="AI251" s="230">
        <f t="shared" si="78"/>
        <v>0.4350967486567382</v>
      </c>
      <c r="AJ251" s="230">
        <f t="shared" si="78"/>
        <v>0.435096748656738</v>
      </c>
      <c r="AK251" s="179"/>
      <c r="AL251" s="179"/>
      <c r="AM251" s="179"/>
      <c r="AN251" s="179"/>
      <c r="AO251" s="179"/>
      <c r="AP251" s="179"/>
      <c r="AQ251" s="179"/>
      <c r="AR251" s="179"/>
      <c r="AS251" s="179"/>
      <c r="AT251" s="179"/>
      <c r="AU251" s="179"/>
      <c r="AV251" s="179"/>
      <c r="AW251" s="179"/>
      <c r="AX251" s="179"/>
      <c r="AY251" s="179"/>
      <c r="AZ251" s="179"/>
      <c r="BA251" s="179"/>
      <c r="BB251" s="179"/>
      <c r="BC251" s="179"/>
      <c r="BD251" s="179"/>
      <c r="BE251" s="179"/>
      <c r="BF251" s="179"/>
      <c r="BG251" s="179"/>
      <c r="BH251" s="179"/>
      <c r="BI251" s="179"/>
      <c r="BJ251" s="179"/>
      <c r="BK251" s="179"/>
    </row>
    <row r="252" spans="5:67" s="236" customFormat="1" ht="12.75">
      <c r="E252" s="231"/>
      <c r="F252" s="232"/>
      <c r="G252" s="233"/>
      <c r="H252" s="234"/>
      <c r="I252" s="234"/>
      <c r="J252" s="234"/>
      <c r="K252" s="234"/>
      <c r="L252" s="234"/>
      <c r="M252" s="235"/>
      <c r="N252" s="235"/>
      <c r="O252" s="235"/>
      <c r="P252" s="235"/>
      <c r="Q252" s="235"/>
      <c r="R252" s="235"/>
      <c r="S252" s="235"/>
      <c r="T252" s="235"/>
      <c r="U252" s="235"/>
      <c r="V252" s="235"/>
      <c r="W252" s="235"/>
      <c r="X252" s="235"/>
      <c r="Y252" s="235"/>
      <c r="Z252" s="235"/>
      <c r="AA252" s="235"/>
      <c r="AB252" s="235"/>
      <c r="AC252" s="235"/>
      <c r="AD252" s="235"/>
      <c r="AE252" s="235"/>
      <c r="AF252" s="235"/>
      <c r="AG252" s="235"/>
      <c r="AH252" s="235"/>
      <c r="AI252" s="235"/>
      <c r="AJ252" s="235"/>
      <c r="AK252" s="235"/>
      <c r="AL252" s="235"/>
      <c r="AM252" s="235"/>
      <c r="AN252" s="235"/>
      <c r="AO252" s="235"/>
      <c r="AP252" s="235"/>
      <c r="AQ252" s="235"/>
      <c r="AR252" s="235"/>
      <c r="AS252" s="235"/>
      <c r="AT252" s="235"/>
      <c r="AU252" s="235"/>
      <c r="AV252" s="235"/>
      <c r="AW252" s="235"/>
      <c r="AX252" s="235"/>
      <c r="AY252" s="235"/>
      <c r="AZ252" s="235"/>
      <c r="BA252" s="235"/>
      <c r="BB252" s="235"/>
      <c r="BC252" s="235"/>
      <c r="BD252" s="235"/>
      <c r="BE252" s="235"/>
      <c r="BF252" s="235"/>
      <c r="BG252" s="235"/>
      <c r="BH252" s="235"/>
      <c r="BI252" s="235"/>
      <c r="BJ252" s="235"/>
      <c r="BK252" s="235"/>
      <c r="BL252" s="235"/>
      <c r="BM252" s="235"/>
      <c r="BN252" s="235"/>
      <c r="BO252" s="235"/>
    </row>
    <row r="253" spans="5:36" ht="15.75">
      <c r="E253" s="1"/>
      <c r="F253" s="237" t="s">
        <v>206</v>
      </c>
      <c r="G253" s="238">
        <f>G262/'[1]KC format'!$N$13</f>
        <v>13.551828600636576</v>
      </c>
      <c r="H253" s="238">
        <f>H262/'[1]KC format'!$N$13</f>
        <v>20.65549713242795</v>
      </c>
      <c r="I253" s="238">
        <f>I262/'[1]KC format'!$N$13</f>
        <v>21.217437342234124</v>
      </c>
      <c r="J253" s="238">
        <f>J262/'[1]KC format'!$N$13</f>
        <v>21.795081264251145</v>
      </c>
      <c r="K253" s="238">
        <f>K262/'[1]KC format'!$N$13</f>
        <v>22.388876919963685</v>
      </c>
      <c r="L253" s="238">
        <f>L262/'[1]KC format'!$N$13</f>
        <v>22.99928530970329</v>
      </c>
      <c r="M253" s="239">
        <f>M262/'[1]KC format'!$N$13</f>
        <v>23.6267807927779</v>
      </c>
      <c r="N253" s="239">
        <f>N262/'[1]KC format'!$N$13</f>
        <v>24.335584216561244</v>
      </c>
      <c r="O253" s="239">
        <f>O262/'[1]KC format'!$N$13</f>
        <v>25.065651743058083</v>
      </c>
      <c r="P253" s="239">
        <f>P262/'[1]KC format'!$N$13</f>
        <v>25.817621295349827</v>
      </c>
      <c r="Q253" s="239">
        <f>Q262/'[1]KC format'!$N$13</f>
        <v>26.59214993421032</v>
      </c>
      <c r="R253" s="239">
        <f>R262/'[1]KC format'!$N$13</f>
        <v>27.389914432236626</v>
      </c>
      <c r="S253" s="239">
        <f>S262/'[1]KC format'!$N$13</f>
        <v>28.211611865203732</v>
      </c>
      <c r="T253" s="239">
        <f>T262/'[1]KC format'!$N$13</f>
        <v>29.057960221159846</v>
      </c>
      <c r="U253" s="239">
        <f>U262/'[1]KC format'!$N$13</f>
        <v>29.929699027794634</v>
      </c>
      <c r="V253" s="239">
        <f>V262/'[1]KC format'!$N$13</f>
        <v>30.827589998628486</v>
      </c>
      <c r="W253" s="239">
        <f>W262/'[1]KC format'!$N$13</f>
        <v>31.752417698587337</v>
      </c>
      <c r="X253" s="239">
        <f>X262/'[1]KC format'!$N$13</f>
        <v>32.70499022954496</v>
      </c>
      <c r="Y253" s="239">
        <f>Y262/'[1]KC format'!$N$13</f>
        <v>33.686139936431296</v>
      </c>
      <c r="Z253" s="239">
        <f>Z262/'[1]KC format'!$N$13</f>
        <v>34.696724134524246</v>
      </c>
      <c r="AA253" s="239">
        <f>AA262/'[1]KC format'!$N$13</f>
        <v>35.73762585855997</v>
      </c>
      <c r="AB253" s="239">
        <f>AB262/'[1]KC format'!$N$13</f>
        <v>36.809754634316775</v>
      </c>
      <c r="AC253" s="239">
        <f>AC262/'[1]KC format'!$N$13</f>
        <v>37.91404727334628</v>
      </c>
      <c r="AD253" s="239">
        <f>AD262/'[1]KC format'!$N$13</f>
        <v>39.05146869154667</v>
      </c>
      <c r="AE253" s="239">
        <f>AE262/'[1]KC format'!$N$13</f>
        <v>40.223012752293066</v>
      </c>
      <c r="AF253" s="239">
        <f>AF262/'[1]KC format'!$N$13</f>
        <v>41.429703134861846</v>
      </c>
      <c r="AG253" s="239">
        <f>AG262/'[1]KC format'!$N$13</f>
        <v>42.67259422890772</v>
      </c>
      <c r="AH253" s="239">
        <f>AH262/'[1]KC format'!$N$13</f>
        <v>43.95277205577496</v>
      </c>
      <c r="AI253" s="239">
        <f>AI262/'[1]KC format'!$N$13</f>
        <v>45.27135521744819</v>
      </c>
      <c r="AJ253" s="239">
        <f>AJ262/'[1]KC format'!$N$13</f>
        <v>46.62949587397165</v>
      </c>
    </row>
    <row r="254" spans="5:36" ht="15.75">
      <c r="E254" s="1"/>
      <c r="F254" s="237"/>
      <c r="G254" s="2">
        <v>1</v>
      </c>
      <c r="H254" s="25">
        <f aca="true" t="shared" si="79" ref="H254:AJ254">G254+1</f>
        <v>2</v>
      </c>
      <c r="I254" s="25">
        <f t="shared" si="79"/>
        <v>3</v>
      </c>
      <c r="J254" s="25">
        <f t="shared" si="79"/>
        <v>4</v>
      </c>
      <c r="K254" s="25">
        <f t="shared" si="79"/>
        <v>5</v>
      </c>
      <c r="L254" s="25">
        <f t="shared" si="79"/>
        <v>6</v>
      </c>
      <c r="M254" s="154">
        <f t="shared" si="79"/>
        <v>7</v>
      </c>
      <c r="N254" s="154">
        <f t="shared" si="79"/>
        <v>8</v>
      </c>
      <c r="O254" s="154">
        <f t="shared" si="79"/>
        <v>9</v>
      </c>
      <c r="P254" s="154">
        <f t="shared" si="79"/>
        <v>10</v>
      </c>
      <c r="Q254" s="154">
        <f t="shared" si="79"/>
        <v>11</v>
      </c>
      <c r="R254" s="154">
        <f t="shared" si="79"/>
        <v>12</v>
      </c>
      <c r="S254" s="154">
        <f t="shared" si="79"/>
        <v>13</v>
      </c>
      <c r="T254" s="154">
        <f t="shared" si="79"/>
        <v>14</v>
      </c>
      <c r="U254" s="154">
        <f t="shared" si="79"/>
        <v>15</v>
      </c>
      <c r="V254" s="154">
        <f t="shared" si="79"/>
        <v>16</v>
      </c>
      <c r="W254" s="154">
        <f t="shared" si="79"/>
        <v>17</v>
      </c>
      <c r="X254" s="154">
        <f t="shared" si="79"/>
        <v>18</v>
      </c>
      <c r="Y254" s="154">
        <f t="shared" si="79"/>
        <v>19</v>
      </c>
      <c r="Z254" s="154">
        <f t="shared" si="79"/>
        <v>20</v>
      </c>
      <c r="AA254" s="154">
        <f t="shared" si="79"/>
        <v>21</v>
      </c>
      <c r="AB254" s="154">
        <f t="shared" si="79"/>
        <v>22</v>
      </c>
      <c r="AC254" s="154">
        <f t="shared" si="79"/>
        <v>23</v>
      </c>
      <c r="AD254" s="154">
        <f t="shared" si="79"/>
        <v>24</v>
      </c>
      <c r="AE254" s="154">
        <f t="shared" si="79"/>
        <v>25</v>
      </c>
      <c r="AF254" s="154">
        <f t="shared" si="79"/>
        <v>26</v>
      </c>
      <c r="AG254" s="154">
        <f t="shared" si="79"/>
        <v>27</v>
      </c>
      <c r="AH254" s="154">
        <f t="shared" si="79"/>
        <v>28</v>
      </c>
      <c r="AI254" s="154">
        <f t="shared" si="79"/>
        <v>29</v>
      </c>
      <c r="AJ254" s="154">
        <f t="shared" si="79"/>
        <v>30</v>
      </c>
    </row>
    <row r="255" spans="5:36" ht="15.75">
      <c r="E255" s="1"/>
      <c r="F255" s="237" t="s">
        <v>51</v>
      </c>
      <c r="G255" s="2">
        <v>2007</v>
      </c>
      <c r="H255" s="2">
        <f aca="true" t="shared" si="80" ref="H255:AJ255">G255+1</f>
        <v>2008</v>
      </c>
      <c r="I255" s="2">
        <f t="shared" si="80"/>
        <v>2009</v>
      </c>
      <c r="J255" s="2">
        <f t="shared" si="80"/>
        <v>2010</v>
      </c>
      <c r="K255" s="2">
        <f t="shared" si="80"/>
        <v>2011</v>
      </c>
      <c r="L255" s="2">
        <f t="shared" si="80"/>
        <v>2012</v>
      </c>
      <c r="M255" s="5">
        <f t="shared" si="80"/>
        <v>2013</v>
      </c>
      <c r="N255" s="5">
        <f t="shared" si="80"/>
        <v>2014</v>
      </c>
      <c r="O255" s="5">
        <f t="shared" si="80"/>
        <v>2015</v>
      </c>
      <c r="P255" s="5">
        <f t="shared" si="80"/>
        <v>2016</v>
      </c>
      <c r="Q255" s="5">
        <f t="shared" si="80"/>
        <v>2017</v>
      </c>
      <c r="R255" s="5">
        <f t="shared" si="80"/>
        <v>2018</v>
      </c>
      <c r="S255" s="5">
        <f t="shared" si="80"/>
        <v>2019</v>
      </c>
      <c r="T255" s="5">
        <f t="shared" si="80"/>
        <v>2020</v>
      </c>
      <c r="U255" s="5">
        <f t="shared" si="80"/>
        <v>2021</v>
      </c>
      <c r="V255" s="5">
        <f t="shared" si="80"/>
        <v>2022</v>
      </c>
      <c r="W255" s="5">
        <f t="shared" si="80"/>
        <v>2023</v>
      </c>
      <c r="X255" s="5">
        <f t="shared" si="80"/>
        <v>2024</v>
      </c>
      <c r="Y255" s="5">
        <f t="shared" si="80"/>
        <v>2025</v>
      </c>
      <c r="Z255" s="5">
        <f t="shared" si="80"/>
        <v>2026</v>
      </c>
      <c r="AA255" s="5">
        <f t="shared" si="80"/>
        <v>2027</v>
      </c>
      <c r="AB255" s="5">
        <f t="shared" si="80"/>
        <v>2028</v>
      </c>
      <c r="AC255" s="5">
        <f t="shared" si="80"/>
        <v>2029</v>
      </c>
      <c r="AD255" s="5">
        <f t="shared" si="80"/>
        <v>2030</v>
      </c>
      <c r="AE255" s="5">
        <f t="shared" si="80"/>
        <v>2031</v>
      </c>
      <c r="AF255" s="5">
        <f t="shared" si="80"/>
        <v>2032</v>
      </c>
      <c r="AG255" s="5">
        <f t="shared" si="80"/>
        <v>2033</v>
      </c>
      <c r="AH255" s="5">
        <f t="shared" si="80"/>
        <v>2034</v>
      </c>
      <c r="AI255" s="5">
        <f t="shared" si="80"/>
        <v>2035</v>
      </c>
      <c r="AJ255" s="5">
        <f t="shared" si="80"/>
        <v>2036</v>
      </c>
    </row>
    <row r="256" spans="5:36" ht="12.75">
      <c r="E256" s="240" t="s">
        <v>207</v>
      </c>
      <c r="F256" s="214" t="s">
        <v>208</v>
      </c>
      <c r="G256" s="30">
        <f aca="true" t="shared" si="81" ref="G256:AJ256">G155+G156-G203</f>
        <v>0</v>
      </c>
      <c r="H256" s="30">
        <f t="shared" si="81"/>
        <v>5780411.869466106</v>
      </c>
      <c r="I256" s="30">
        <f t="shared" si="81"/>
        <v>5783892.207692236</v>
      </c>
      <c r="J256" s="30">
        <f t="shared" si="81"/>
        <v>5782868.578802197</v>
      </c>
      <c r="K256" s="30">
        <f t="shared" si="81"/>
        <v>5781435.498356145</v>
      </c>
      <c r="L256" s="30">
        <f t="shared" si="81"/>
        <v>5783482.75613622</v>
      </c>
      <c r="M256" s="159">
        <f t="shared" si="81"/>
        <v>5780411.869466106</v>
      </c>
      <c r="N256" s="159">
        <f t="shared" si="81"/>
        <v>5780411.869466106</v>
      </c>
      <c r="O256" s="159">
        <f t="shared" si="81"/>
        <v>5783073.304580205</v>
      </c>
      <c r="P256" s="159">
        <f t="shared" si="81"/>
        <v>5783892.207692236</v>
      </c>
      <c r="Q256" s="159">
        <f t="shared" si="81"/>
        <v>5784444.967292856</v>
      </c>
      <c r="R256" s="159">
        <f t="shared" si="81"/>
        <v>5782970.941691201</v>
      </c>
      <c r="S256" s="159">
        <f t="shared" si="81"/>
        <v>5781333.135467141</v>
      </c>
      <c r="T256" s="159">
        <f t="shared" si="81"/>
        <v>5783912.680270037</v>
      </c>
      <c r="U256" s="159">
        <f t="shared" si="81"/>
        <v>5784096.933470243</v>
      </c>
      <c r="V256" s="159">
        <f t="shared" si="81"/>
        <v>5783892.207692236</v>
      </c>
      <c r="W256" s="159">
        <f t="shared" si="81"/>
        <v>5783892.207692236</v>
      </c>
      <c r="X256" s="159">
        <f t="shared" si="81"/>
        <v>5783687.481914228</v>
      </c>
      <c r="Y256" s="159">
        <f t="shared" si="81"/>
        <v>5782868.578802197</v>
      </c>
      <c r="Z256" s="159">
        <f t="shared" si="81"/>
        <v>5781026.046800129</v>
      </c>
      <c r="AA256" s="159">
        <f t="shared" si="81"/>
        <v>5781844.94991216</v>
      </c>
      <c r="AB256" s="159">
        <f t="shared" si="81"/>
        <v>5783134.722313607</v>
      </c>
      <c r="AC256" s="159">
        <f t="shared" si="81"/>
        <v>5782889.051379998</v>
      </c>
      <c r="AD256" s="159">
        <f t="shared" si="81"/>
        <v>5781251.245155938</v>
      </c>
      <c r="AE256" s="159">
        <f t="shared" si="81"/>
        <v>5784322.1318260515</v>
      </c>
      <c r="AF256" s="159">
        <f t="shared" si="81"/>
        <v>5783093.777158006</v>
      </c>
      <c r="AG256" s="159">
        <f t="shared" si="81"/>
        <v>1457442.8136359332</v>
      </c>
      <c r="AH256" s="159">
        <f t="shared" si="81"/>
        <v>0</v>
      </c>
      <c r="AI256" s="159">
        <f t="shared" si="81"/>
        <v>0</v>
      </c>
      <c r="AJ256" s="159">
        <f t="shared" si="81"/>
        <v>0</v>
      </c>
    </row>
    <row r="257" spans="5:67" s="163" customFormat="1" ht="12.75">
      <c r="E257" s="167">
        <f>ROUND(NPV($G$31,G257:AH257),-5)</f>
        <v>63500000</v>
      </c>
      <c r="F257" s="212" t="s">
        <v>209</v>
      </c>
      <c r="G257" s="164">
        <f aca="true" t="shared" si="82" ref="G257:AJ257">G162-G203</f>
        <v>400302.4136196401</v>
      </c>
      <c r="H257" s="164">
        <f t="shared" si="82"/>
        <v>6260255.497896848</v>
      </c>
      <c r="I257" s="164">
        <f t="shared" si="82"/>
        <v>6273000.919878413</v>
      </c>
      <c r="J257" s="164">
        <f t="shared" si="82"/>
        <v>6281464.052256472</v>
      </c>
      <c r="K257" s="164">
        <f t="shared" si="82"/>
        <v>6289797.71091656</v>
      </c>
      <c r="L257" s="164">
        <f t="shared" si="82"/>
        <v>6301947.734975961</v>
      </c>
      <c r="M257" s="165">
        <f t="shared" si="82"/>
        <v>6309219.447573553</v>
      </c>
      <c r="N257" s="165">
        <f t="shared" si="82"/>
        <v>6319910.949819289</v>
      </c>
      <c r="O257" s="165">
        <f t="shared" si="82"/>
        <v>6333617.132246496</v>
      </c>
      <c r="P257" s="165">
        <f t="shared" si="82"/>
        <v>6345788.650091028</v>
      </c>
      <c r="Q257" s="165">
        <f t="shared" si="82"/>
        <v>6358031.0528661255</v>
      </c>
      <c r="R257" s="165">
        <f t="shared" si="82"/>
        <v>6368572.407234181</v>
      </c>
      <c r="S257" s="165">
        <f t="shared" si="82"/>
        <v>6379308.982378922</v>
      </c>
      <c r="T257" s="165">
        <f t="shared" si="82"/>
        <v>6394686.2399916835</v>
      </c>
      <c r="U257" s="165">
        <f t="shared" si="82"/>
        <v>6408021.942386053</v>
      </c>
      <c r="V257" s="165">
        <f t="shared" si="82"/>
        <v>6421358.391778032</v>
      </c>
      <c r="W257" s="165">
        <f t="shared" si="82"/>
        <v>6435308.377203119</v>
      </c>
      <c r="X257" s="165">
        <f t="shared" si="82"/>
        <v>6449469.63641295</v>
      </c>
      <c r="Y257" s="165">
        <f t="shared" si="82"/>
        <v>6463440.272838394</v>
      </c>
      <c r="Z257" s="165">
        <f t="shared" si="82"/>
        <v>6476818.766559925</v>
      </c>
      <c r="AA257" s="165">
        <f t="shared" si="82"/>
        <v>6493348.501167262</v>
      </c>
      <c r="AB257" s="165">
        <f t="shared" si="82"/>
        <v>6510825.880008875</v>
      </c>
      <c r="AC257" s="165">
        <f t="shared" si="82"/>
        <v>6527234.221208638</v>
      </c>
      <c r="AD257" s="165">
        <f t="shared" si="82"/>
        <v>6542733.137481949</v>
      </c>
      <c r="AE257" s="165">
        <f t="shared" si="82"/>
        <v>6563512.948324355</v>
      </c>
      <c r="AF257" s="165">
        <f t="shared" si="82"/>
        <v>6580471.160553772</v>
      </c>
      <c r="AG257" s="165">
        <f t="shared" si="82"/>
        <v>2118908.3910198426</v>
      </c>
      <c r="AH257" s="165">
        <f t="shared" si="82"/>
        <v>662978.1197054265</v>
      </c>
      <c r="AI257" s="165">
        <f t="shared" si="82"/>
        <v>682867.4632965893</v>
      </c>
      <c r="AJ257" s="165">
        <f t="shared" si="82"/>
        <v>703353.487195487</v>
      </c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  <c r="BI257" s="166"/>
      <c r="BJ257" s="166"/>
      <c r="BK257" s="166"/>
      <c r="BL257" s="166"/>
      <c r="BM257" s="166"/>
      <c r="BN257" s="166"/>
      <c r="BO257" s="166"/>
    </row>
    <row r="258" spans="5:36" ht="12.75">
      <c r="E258" s="167"/>
      <c r="F258" s="214"/>
      <c r="G258" s="30"/>
      <c r="H258" s="30"/>
      <c r="I258" s="30"/>
      <c r="J258" s="30"/>
      <c r="K258" s="30"/>
      <c r="L258" s="30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  <c r="AA258" s="159"/>
      <c r="AB258" s="159"/>
      <c r="AC258" s="159"/>
      <c r="AD258" s="159"/>
      <c r="AE258" s="159"/>
      <c r="AF258" s="159"/>
      <c r="AG258" s="159"/>
      <c r="AH258" s="159"/>
      <c r="AI258" s="159"/>
      <c r="AJ258" s="159"/>
    </row>
    <row r="259" spans="5:36" ht="15.75">
      <c r="E259" s="167"/>
      <c r="F259" s="237" t="s">
        <v>58</v>
      </c>
      <c r="G259" s="30"/>
      <c r="H259" s="30"/>
      <c r="I259" s="30"/>
      <c r="J259" s="30"/>
      <c r="K259" s="30"/>
      <c r="L259" s="30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  <c r="AA259" s="159"/>
      <c r="AB259" s="159"/>
      <c r="AC259" s="159"/>
      <c r="AD259" s="159"/>
      <c r="AE259" s="159"/>
      <c r="AF259" s="159"/>
      <c r="AG259" s="159"/>
      <c r="AH259" s="159"/>
      <c r="AI259" s="159"/>
      <c r="AJ259" s="159"/>
    </row>
    <row r="260" spans="5:36" ht="12.75">
      <c r="E260" s="167">
        <f>ROUND(NPV($G$31,G260:AH260),-5)</f>
        <v>78000000</v>
      </c>
      <c r="F260" s="214" t="s">
        <v>210</v>
      </c>
      <c r="G260" s="30">
        <f aca="true" t="shared" si="83" ref="G260:AJ260">G165+G166</f>
        <v>3680482.6369833336</v>
      </c>
      <c r="H260" s="30">
        <f t="shared" si="83"/>
        <v>5643293.414139249</v>
      </c>
      <c r="I260" s="30">
        <f t="shared" si="83"/>
        <v>5795967.501763428</v>
      </c>
      <c r="J260" s="30">
        <f t="shared" si="83"/>
        <v>5952889.317720329</v>
      </c>
      <c r="K260" s="30">
        <f t="shared" si="83"/>
        <v>6114179.643974021</v>
      </c>
      <c r="L260" s="30">
        <f t="shared" si="83"/>
        <v>6279962.752949762</v>
      </c>
      <c r="M260" s="159">
        <f t="shared" si="83"/>
        <v>6450366.509587906</v>
      </c>
      <c r="N260" s="159">
        <f t="shared" si="83"/>
        <v>6643877.504875544</v>
      </c>
      <c r="O260" s="159">
        <f t="shared" si="83"/>
        <v>6843193.830021812</v>
      </c>
      <c r="P260" s="159">
        <f t="shared" si="83"/>
        <v>7048489.644922467</v>
      </c>
      <c r="Q260" s="159">
        <f t="shared" si="83"/>
        <v>7259944.33427014</v>
      </c>
      <c r="R260" s="159">
        <f t="shared" si="83"/>
        <v>7477742.664298244</v>
      </c>
      <c r="S260" s="159">
        <f t="shared" si="83"/>
        <v>7702074.9442271935</v>
      </c>
      <c r="T260" s="159">
        <f t="shared" si="83"/>
        <v>7933137.192554008</v>
      </c>
      <c r="U260" s="159">
        <f t="shared" si="83"/>
        <v>8171131.308330627</v>
      </c>
      <c r="V260" s="159">
        <f t="shared" si="83"/>
        <v>8416265.247580549</v>
      </c>
      <c r="W260" s="159">
        <f t="shared" si="83"/>
        <v>8668753.205007965</v>
      </c>
      <c r="X260" s="159">
        <f t="shared" si="83"/>
        <v>8928815.801158205</v>
      </c>
      <c r="Y260" s="159">
        <f t="shared" si="83"/>
        <v>9196680.275192948</v>
      </c>
      <c r="Z260" s="159">
        <f t="shared" si="83"/>
        <v>9472580.683448737</v>
      </c>
      <c r="AA260" s="159">
        <f t="shared" si="83"/>
        <v>9756758.103952201</v>
      </c>
      <c r="AB260" s="159">
        <f t="shared" si="83"/>
        <v>10049460.847070768</v>
      </c>
      <c r="AC260" s="159">
        <f t="shared" si="83"/>
        <v>10350944.67248289</v>
      </c>
      <c r="AD260" s="159">
        <f t="shared" si="83"/>
        <v>10661473.012657376</v>
      </c>
      <c r="AE260" s="159">
        <f t="shared" si="83"/>
        <v>10981317.203037098</v>
      </c>
      <c r="AF260" s="159">
        <f t="shared" si="83"/>
        <v>11310756.719128208</v>
      </c>
      <c r="AG260" s="159">
        <f t="shared" si="83"/>
        <v>11650079.42070206</v>
      </c>
      <c r="AH260" s="159">
        <f t="shared" si="83"/>
        <v>11999581.803323124</v>
      </c>
      <c r="AI260" s="159">
        <f t="shared" si="83"/>
        <v>12359569.257422812</v>
      </c>
      <c r="AJ260" s="159">
        <f t="shared" si="83"/>
        <v>12730356.3351455</v>
      </c>
    </row>
    <row r="261" spans="5:36" ht="12.75">
      <c r="E261" s="167">
        <f>ROUND(NPV($G$31,G261:AH261),-5)</f>
        <v>4300000</v>
      </c>
      <c r="F261" s="214" t="s">
        <v>211</v>
      </c>
      <c r="G261" s="30">
        <f aca="true" t="shared" si="84" ref="G261:AJ261">G169</f>
        <v>222444</v>
      </c>
      <c r="H261" s="30">
        <f t="shared" si="84"/>
        <v>305489.76</v>
      </c>
      <c r="I261" s="30">
        <f t="shared" si="84"/>
        <v>314654.4528</v>
      </c>
      <c r="J261" s="30">
        <f t="shared" si="84"/>
        <v>324094.086384</v>
      </c>
      <c r="K261" s="30">
        <f t="shared" si="84"/>
        <v>333816.90897552005</v>
      </c>
      <c r="L261" s="30">
        <f t="shared" si="84"/>
        <v>343831.41624478565</v>
      </c>
      <c r="M261" s="159">
        <f t="shared" si="84"/>
        <v>354146.3587321292</v>
      </c>
      <c r="N261" s="159">
        <f t="shared" si="84"/>
        <v>364770.7494940931</v>
      </c>
      <c r="O261" s="159">
        <f t="shared" si="84"/>
        <v>375713.87197891594</v>
      </c>
      <c r="P261" s="159">
        <f t="shared" si="84"/>
        <v>386985.2881382834</v>
      </c>
      <c r="Q261" s="159">
        <f t="shared" si="84"/>
        <v>398594.84678243194</v>
      </c>
      <c r="R261" s="159">
        <f t="shared" si="84"/>
        <v>410552.6921859049</v>
      </c>
      <c r="S261" s="159">
        <f t="shared" si="84"/>
        <v>422869.27295148204</v>
      </c>
      <c r="T261" s="159">
        <f t="shared" si="84"/>
        <v>435555.3511400265</v>
      </c>
      <c r="U261" s="159">
        <f t="shared" si="84"/>
        <v>448622.0116742273</v>
      </c>
      <c r="V261" s="159">
        <f t="shared" si="84"/>
        <v>462080.67202445416</v>
      </c>
      <c r="W261" s="159">
        <f t="shared" si="84"/>
        <v>475943.0921851878</v>
      </c>
      <c r="X261" s="159">
        <f t="shared" si="84"/>
        <v>490221.38495074346</v>
      </c>
      <c r="Y261" s="159">
        <f t="shared" si="84"/>
        <v>504928.0264992658</v>
      </c>
      <c r="Z261" s="159">
        <f t="shared" si="84"/>
        <v>520075.86729424377</v>
      </c>
      <c r="AA261" s="159">
        <f t="shared" si="84"/>
        <v>535678.1433130711</v>
      </c>
      <c r="AB261" s="159">
        <f t="shared" si="84"/>
        <v>551748.4876124633</v>
      </c>
      <c r="AC261" s="159">
        <f t="shared" si="84"/>
        <v>568300.9422408373</v>
      </c>
      <c r="AD261" s="159">
        <f t="shared" si="84"/>
        <v>585349.9705080624</v>
      </c>
      <c r="AE261" s="159">
        <f t="shared" si="84"/>
        <v>602910.4696233043</v>
      </c>
      <c r="AF261" s="159">
        <f t="shared" si="84"/>
        <v>620997.7837120035</v>
      </c>
      <c r="AG261" s="159">
        <f t="shared" si="84"/>
        <v>639627.7172233636</v>
      </c>
      <c r="AH261" s="159">
        <f t="shared" si="84"/>
        <v>658816.5487400645</v>
      </c>
      <c r="AI261" s="159">
        <f t="shared" si="84"/>
        <v>678581.0452022664</v>
      </c>
      <c r="AJ261" s="159">
        <f t="shared" si="84"/>
        <v>698938.4765583344</v>
      </c>
    </row>
    <row r="262" spans="5:67" s="163" customFormat="1" ht="12.75">
      <c r="E262" s="167">
        <f>ROUND(NPV($G$31,G262:AH262),-5)</f>
        <v>82300000</v>
      </c>
      <c r="F262" s="212" t="s">
        <v>212</v>
      </c>
      <c r="G262" s="164">
        <f aca="true" t="shared" si="85" ref="G262:AJ262">SUM(G260:G261)</f>
        <v>3902926.6369833336</v>
      </c>
      <c r="H262" s="164">
        <f t="shared" si="85"/>
        <v>5948783.174139249</v>
      </c>
      <c r="I262" s="164">
        <f t="shared" si="85"/>
        <v>6110621.954563428</v>
      </c>
      <c r="J262" s="164">
        <f t="shared" si="85"/>
        <v>6276983.40410433</v>
      </c>
      <c r="K262" s="164">
        <f t="shared" si="85"/>
        <v>6447996.552949541</v>
      </c>
      <c r="L262" s="164">
        <f t="shared" si="85"/>
        <v>6623794.169194547</v>
      </c>
      <c r="M262" s="165">
        <f t="shared" si="85"/>
        <v>6804512.868320036</v>
      </c>
      <c r="N262" s="165">
        <f t="shared" si="85"/>
        <v>7008648.254369638</v>
      </c>
      <c r="O262" s="165">
        <f t="shared" si="85"/>
        <v>7218907.702000728</v>
      </c>
      <c r="P262" s="165">
        <f t="shared" si="85"/>
        <v>7435474.93306075</v>
      </c>
      <c r="Q262" s="165">
        <f t="shared" si="85"/>
        <v>7658539.181052572</v>
      </c>
      <c r="R262" s="165">
        <f t="shared" si="85"/>
        <v>7888295.356484149</v>
      </c>
      <c r="S262" s="165">
        <f t="shared" si="85"/>
        <v>8124944.217178675</v>
      </c>
      <c r="T262" s="165">
        <f t="shared" si="85"/>
        <v>8368692.543694035</v>
      </c>
      <c r="U262" s="165">
        <f t="shared" si="85"/>
        <v>8619753.320004854</v>
      </c>
      <c r="V262" s="165">
        <f t="shared" si="85"/>
        <v>8878345.919605004</v>
      </c>
      <c r="W262" s="165">
        <f t="shared" si="85"/>
        <v>9144696.297193153</v>
      </c>
      <c r="X262" s="165">
        <f t="shared" si="85"/>
        <v>9419037.186108949</v>
      </c>
      <c r="Y262" s="165">
        <f t="shared" si="85"/>
        <v>9701608.301692214</v>
      </c>
      <c r="Z262" s="165">
        <f t="shared" si="85"/>
        <v>9992656.550742982</v>
      </c>
      <c r="AA262" s="165">
        <f t="shared" si="85"/>
        <v>10292436.247265272</v>
      </c>
      <c r="AB262" s="165">
        <f t="shared" si="85"/>
        <v>10601209.334683232</v>
      </c>
      <c r="AC262" s="165">
        <f t="shared" si="85"/>
        <v>10919245.614723727</v>
      </c>
      <c r="AD262" s="165">
        <f t="shared" si="85"/>
        <v>11246822.98316544</v>
      </c>
      <c r="AE262" s="165">
        <f t="shared" si="85"/>
        <v>11584227.672660403</v>
      </c>
      <c r="AF262" s="165">
        <f t="shared" si="85"/>
        <v>11931754.502840212</v>
      </c>
      <c r="AG262" s="165">
        <f t="shared" si="85"/>
        <v>12289707.137925424</v>
      </c>
      <c r="AH262" s="165">
        <f t="shared" si="85"/>
        <v>12658398.352063188</v>
      </c>
      <c r="AI262" s="165">
        <f t="shared" si="85"/>
        <v>13038150.302625079</v>
      </c>
      <c r="AJ262" s="165">
        <f t="shared" si="85"/>
        <v>13429294.811703835</v>
      </c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  <c r="BI262" s="166"/>
      <c r="BJ262" s="166"/>
      <c r="BK262" s="166"/>
      <c r="BL262" s="166"/>
      <c r="BM262" s="166"/>
      <c r="BN262" s="166"/>
      <c r="BO262" s="166"/>
    </row>
    <row r="263" spans="5:12" ht="12.75">
      <c r="E263" s="241"/>
      <c r="F263" s="214"/>
      <c r="G263" s="2"/>
      <c r="H263" s="2"/>
      <c r="I263" s="2"/>
      <c r="J263" s="2"/>
      <c r="K263" s="2"/>
      <c r="L263" s="2"/>
    </row>
    <row r="264" spans="5:36" ht="12.75">
      <c r="E264" s="167">
        <f>ROUND(NPV($G$31,G264:AH264),-5)</f>
        <v>18800000</v>
      </c>
      <c r="F264" s="2" t="s">
        <v>213</v>
      </c>
      <c r="G264" s="30">
        <f aca="true" t="shared" si="86" ref="G264:AJ264">G262-G257</f>
        <v>3502624.2233636933</v>
      </c>
      <c r="H264" s="30">
        <f t="shared" si="86"/>
        <v>-311472.3237575991</v>
      </c>
      <c r="I264" s="30">
        <f t="shared" si="86"/>
        <v>-162378.96531498525</v>
      </c>
      <c r="J264" s="30">
        <f t="shared" si="86"/>
        <v>-4480.648152142763</v>
      </c>
      <c r="K264" s="30">
        <f t="shared" si="86"/>
        <v>158198.8420329811</v>
      </c>
      <c r="L264" s="30">
        <f t="shared" si="86"/>
        <v>321846.4342185864</v>
      </c>
      <c r="M264" s="159">
        <f t="shared" si="86"/>
        <v>495293.4207464829</v>
      </c>
      <c r="N264" s="159">
        <f t="shared" si="86"/>
        <v>688737.3045503488</v>
      </c>
      <c r="O264" s="159">
        <f t="shared" si="86"/>
        <v>885290.5697542317</v>
      </c>
      <c r="P264" s="159">
        <f t="shared" si="86"/>
        <v>1089686.2829697225</v>
      </c>
      <c r="Q264" s="159">
        <f t="shared" si="86"/>
        <v>1300508.1281864466</v>
      </c>
      <c r="R264" s="159">
        <f t="shared" si="86"/>
        <v>1519722.949249968</v>
      </c>
      <c r="S264" s="159">
        <f t="shared" si="86"/>
        <v>1745635.234799753</v>
      </c>
      <c r="T264" s="159">
        <f t="shared" si="86"/>
        <v>1974006.3037023516</v>
      </c>
      <c r="U264" s="159">
        <f t="shared" si="86"/>
        <v>2211731.377618802</v>
      </c>
      <c r="V264" s="159">
        <f t="shared" si="86"/>
        <v>2456987.5278269714</v>
      </c>
      <c r="W264" s="159">
        <f t="shared" si="86"/>
        <v>2709387.919990034</v>
      </c>
      <c r="X264" s="159">
        <f t="shared" si="86"/>
        <v>2969567.5496959984</v>
      </c>
      <c r="Y264" s="159">
        <f t="shared" si="86"/>
        <v>3238168.0288538197</v>
      </c>
      <c r="Z264" s="159">
        <f t="shared" si="86"/>
        <v>3515837.784183057</v>
      </c>
      <c r="AA264" s="159">
        <f t="shared" si="86"/>
        <v>3799087.74609801</v>
      </c>
      <c r="AB264" s="159">
        <f t="shared" si="86"/>
        <v>4090383.4546743566</v>
      </c>
      <c r="AC264" s="159">
        <f t="shared" si="86"/>
        <v>4392011.3935150895</v>
      </c>
      <c r="AD264" s="159">
        <f t="shared" si="86"/>
        <v>4704089.84568349</v>
      </c>
      <c r="AE264" s="159">
        <f t="shared" si="86"/>
        <v>5020714.724336048</v>
      </c>
      <c r="AF264" s="159">
        <f t="shared" si="86"/>
        <v>5351283.34228644</v>
      </c>
      <c r="AG264" s="159">
        <f t="shared" si="86"/>
        <v>10170798.74690558</v>
      </c>
      <c r="AH264" s="159">
        <f t="shared" si="86"/>
        <v>11995420.232357763</v>
      </c>
      <c r="AI264" s="159">
        <f t="shared" si="86"/>
        <v>12355282.83932849</v>
      </c>
      <c r="AJ264" s="159">
        <f t="shared" si="86"/>
        <v>12725941.324508348</v>
      </c>
    </row>
    <row r="265" spans="5:36" ht="12.75">
      <c r="E265" s="1"/>
      <c r="F265" s="2" t="s">
        <v>214</v>
      </c>
      <c r="G265" s="30">
        <f>G264</f>
        <v>3502624.2233636933</v>
      </c>
      <c r="H265" s="30">
        <f aca="true" t="shared" si="87" ref="H265:AJ265">H264+G265</f>
        <v>3191151.899606094</v>
      </c>
      <c r="I265" s="30">
        <f t="shared" si="87"/>
        <v>3028772.934291109</v>
      </c>
      <c r="J265" s="30">
        <f t="shared" si="87"/>
        <v>3024292.286138966</v>
      </c>
      <c r="K265" s="30">
        <f t="shared" si="87"/>
        <v>3182491.1281719473</v>
      </c>
      <c r="L265" s="30">
        <f t="shared" si="87"/>
        <v>3504337.5623905337</v>
      </c>
      <c r="M265" s="159">
        <f t="shared" si="87"/>
        <v>3999630.9831370167</v>
      </c>
      <c r="N265" s="159">
        <f t="shared" si="87"/>
        <v>4688368.287687365</v>
      </c>
      <c r="O265" s="159">
        <f t="shared" si="87"/>
        <v>5573658.857441597</v>
      </c>
      <c r="P265" s="159">
        <f t="shared" si="87"/>
        <v>6663345.140411319</v>
      </c>
      <c r="Q265" s="159">
        <f t="shared" si="87"/>
        <v>7963853.268597766</v>
      </c>
      <c r="R265" s="159">
        <f t="shared" si="87"/>
        <v>9483576.217847735</v>
      </c>
      <c r="S265" s="159">
        <f t="shared" si="87"/>
        <v>11229211.452647489</v>
      </c>
      <c r="T265" s="159">
        <f t="shared" si="87"/>
        <v>13203217.75634984</v>
      </c>
      <c r="U265" s="159">
        <f t="shared" si="87"/>
        <v>15414949.13396864</v>
      </c>
      <c r="V265" s="159">
        <f t="shared" si="87"/>
        <v>17871936.661795612</v>
      </c>
      <c r="W265" s="159">
        <f t="shared" si="87"/>
        <v>20581324.581785645</v>
      </c>
      <c r="X265" s="159">
        <f t="shared" si="87"/>
        <v>23550892.131481644</v>
      </c>
      <c r="Y265" s="159">
        <f t="shared" si="87"/>
        <v>26789060.160335463</v>
      </c>
      <c r="Z265" s="159">
        <f t="shared" si="87"/>
        <v>30304897.94451852</v>
      </c>
      <c r="AA265" s="159">
        <f t="shared" si="87"/>
        <v>34103985.69061653</v>
      </c>
      <c r="AB265" s="159">
        <f t="shared" si="87"/>
        <v>38194369.14529089</v>
      </c>
      <c r="AC265" s="159">
        <f t="shared" si="87"/>
        <v>42586380.53880598</v>
      </c>
      <c r="AD265" s="159">
        <f t="shared" si="87"/>
        <v>47290470.38448947</v>
      </c>
      <c r="AE265" s="159">
        <f t="shared" si="87"/>
        <v>52311185.10882552</v>
      </c>
      <c r="AF265" s="159">
        <f t="shared" si="87"/>
        <v>57662468.45111196</v>
      </c>
      <c r="AG265" s="159">
        <f t="shared" si="87"/>
        <v>67833267.19801754</v>
      </c>
      <c r="AH265" s="159">
        <f t="shared" si="87"/>
        <v>79828687.43037531</v>
      </c>
      <c r="AI265" s="159">
        <f t="shared" si="87"/>
        <v>92183970.2697038</v>
      </c>
      <c r="AJ265" s="159">
        <f t="shared" si="87"/>
        <v>104909911.59421216</v>
      </c>
    </row>
    <row r="266" spans="5:12" ht="12.75">
      <c r="E266" s="1"/>
      <c r="F266" s="2"/>
      <c r="G266" s="2"/>
      <c r="H266" s="2"/>
      <c r="I266" s="2"/>
      <c r="J266" s="2"/>
      <c r="K266" s="2"/>
      <c r="L266" s="2"/>
    </row>
    <row r="267" spans="5:14" ht="12.75" hidden="1">
      <c r="E267" s="191">
        <f>ROUND(NPV($G$31,G267:AH267),-5)</f>
        <v>-7300000</v>
      </c>
      <c r="F267" s="2" t="s">
        <v>215</v>
      </c>
      <c r="G267" s="30">
        <f aca="true" t="shared" si="88" ref="G267:N267">G181</f>
        <v>-1212762.7087995321</v>
      </c>
      <c r="H267" s="30">
        <f t="shared" si="88"/>
        <v>-1229758.580063518</v>
      </c>
      <c r="I267" s="30">
        <f t="shared" si="88"/>
        <v>-1377989.5974654234</v>
      </c>
      <c r="J267" s="30">
        <f t="shared" si="88"/>
        <v>-1377829.6503893854</v>
      </c>
      <c r="K267" s="30">
        <f t="shared" si="88"/>
        <v>-1411762.559901068</v>
      </c>
      <c r="L267" s="30">
        <f t="shared" si="88"/>
        <v>-1577438.7266981</v>
      </c>
      <c r="M267" s="159">
        <f t="shared" si="88"/>
        <v>-1749282.2834990432</v>
      </c>
      <c r="N267" s="159">
        <f t="shared" si="88"/>
        <v>0</v>
      </c>
    </row>
    <row r="268" spans="5:12" ht="12.75" hidden="1">
      <c r="E268" s="1"/>
      <c r="F268" s="2"/>
      <c r="G268" s="2"/>
      <c r="H268" s="2"/>
      <c r="I268" s="2"/>
      <c r="J268" s="2"/>
      <c r="K268" s="2"/>
      <c r="L268" s="2"/>
    </row>
    <row r="269" spans="5:36" ht="12.75" hidden="1">
      <c r="E269" s="191">
        <f>ROUND(NPV($G$31,G269:AH269),-5)</f>
        <v>11500000</v>
      </c>
      <c r="F269" s="2" t="s">
        <v>216</v>
      </c>
      <c r="G269" s="30">
        <f aca="true" t="shared" si="89" ref="G269:AJ269">G264+G267</f>
        <v>2289861.514564161</v>
      </c>
      <c r="H269" s="30">
        <f t="shared" si="89"/>
        <v>-1541230.903821117</v>
      </c>
      <c r="I269" s="30">
        <f t="shared" si="89"/>
        <v>-1540368.5627804087</v>
      </c>
      <c r="J269" s="30">
        <f t="shared" si="89"/>
        <v>-1382310.2985415282</v>
      </c>
      <c r="K269" s="30">
        <f t="shared" si="89"/>
        <v>-1253563.7178680869</v>
      </c>
      <c r="L269" s="30">
        <f t="shared" si="89"/>
        <v>-1255592.2924795137</v>
      </c>
      <c r="M269" s="159">
        <f t="shared" si="89"/>
        <v>-1253988.8627525603</v>
      </c>
      <c r="N269" s="159">
        <f t="shared" si="89"/>
        <v>688737.3045503488</v>
      </c>
      <c r="O269" s="159">
        <f t="shared" si="89"/>
        <v>885290.5697542317</v>
      </c>
      <c r="P269" s="159">
        <f t="shared" si="89"/>
        <v>1089686.2829697225</v>
      </c>
      <c r="Q269" s="159">
        <f t="shared" si="89"/>
        <v>1300508.1281864466</v>
      </c>
      <c r="R269" s="159">
        <f t="shared" si="89"/>
        <v>1519722.949249968</v>
      </c>
      <c r="S269" s="159">
        <f t="shared" si="89"/>
        <v>1745635.234799753</v>
      </c>
      <c r="T269" s="159">
        <f t="shared" si="89"/>
        <v>1974006.3037023516</v>
      </c>
      <c r="U269" s="159">
        <f t="shared" si="89"/>
        <v>2211731.377618802</v>
      </c>
      <c r="V269" s="159">
        <f t="shared" si="89"/>
        <v>2456987.5278269714</v>
      </c>
      <c r="W269" s="159">
        <f t="shared" si="89"/>
        <v>2709387.919990034</v>
      </c>
      <c r="X269" s="159">
        <f t="shared" si="89"/>
        <v>2969567.5496959984</v>
      </c>
      <c r="Y269" s="159">
        <f t="shared" si="89"/>
        <v>3238168.0288538197</v>
      </c>
      <c r="Z269" s="159">
        <f t="shared" si="89"/>
        <v>3515837.784183057</v>
      </c>
      <c r="AA269" s="159">
        <f t="shared" si="89"/>
        <v>3799087.74609801</v>
      </c>
      <c r="AB269" s="159">
        <f t="shared" si="89"/>
        <v>4090383.4546743566</v>
      </c>
      <c r="AC269" s="159">
        <f t="shared" si="89"/>
        <v>4392011.3935150895</v>
      </c>
      <c r="AD269" s="159">
        <f t="shared" si="89"/>
        <v>4704089.84568349</v>
      </c>
      <c r="AE269" s="159">
        <f t="shared" si="89"/>
        <v>5020714.724336048</v>
      </c>
      <c r="AF269" s="159">
        <f t="shared" si="89"/>
        <v>5351283.34228644</v>
      </c>
      <c r="AG269" s="159">
        <f t="shared" si="89"/>
        <v>10170798.74690558</v>
      </c>
      <c r="AH269" s="159">
        <f t="shared" si="89"/>
        <v>11995420.232357763</v>
      </c>
      <c r="AI269" s="159">
        <f t="shared" si="89"/>
        <v>12355282.83932849</v>
      </c>
      <c r="AJ269" s="159">
        <f t="shared" si="89"/>
        <v>12725941.324508348</v>
      </c>
    </row>
    <row r="270" spans="5:36" ht="12.75" hidden="1">
      <c r="E270" s="1"/>
      <c r="F270" s="2" t="s">
        <v>214</v>
      </c>
      <c r="G270" s="30">
        <f>G269</f>
        <v>2289861.514564161</v>
      </c>
      <c r="H270" s="30">
        <f aca="true" t="shared" si="90" ref="H270:AJ270">H269+G270</f>
        <v>748630.6107430442</v>
      </c>
      <c r="I270" s="30">
        <f t="shared" si="90"/>
        <v>-791737.9520373645</v>
      </c>
      <c r="J270" s="30">
        <f t="shared" si="90"/>
        <v>-2174048.2505788924</v>
      </c>
      <c r="K270" s="30">
        <f t="shared" si="90"/>
        <v>-3427611.9684469793</v>
      </c>
      <c r="L270" s="30">
        <f t="shared" si="90"/>
        <v>-4683204.2609264925</v>
      </c>
      <c r="M270" s="159">
        <f t="shared" si="90"/>
        <v>-5937193.123679053</v>
      </c>
      <c r="N270" s="159">
        <f t="shared" si="90"/>
        <v>-5248455.819128704</v>
      </c>
      <c r="O270" s="159">
        <f t="shared" si="90"/>
        <v>-4363165.249374473</v>
      </c>
      <c r="P270" s="159">
        <f t="shared" si="90"/>
        <v>-3273478.96640475</v>
      </c>
      <c r="Q270" s="159">
        <f t="shared" si="90"/>
        <v>-1972970.8382183034</v>
      </c>
      <c r="R270" s="159">
        <f t="shared" si="90"/>
        <v>-453247.88896833546</v>
      </c>
      <c r="S270" s="159">
        <f t="shared" si="90"/>
        <v>1292387.3458314175</v>
      </c>
      <c r="T270" s="159">
        <f t="shared" si="90"/>
        <v>3266393.649533769</v>
      </c>
      <c r="U270" s="159">
        <f t="shared" si="90"/>
        <v>5478125.027152571</v>
      </c>
      <c r="V270" s="159">
        <f t="shared" si="90"/>
        <v>7935112.554979542</v>
      </c>
      <c r="W270" s="159">
        <f t="shared" si="90"/>
        <v>10644500.474969577</v>
      </c>
      <c r="X270" s="159">
        <f t="shared" si="90"/>
        <v>13614068.024665575</v>
      </c>
      <c r="Y270" s="159">
        <f t="shared" si="90"/>
        <v>16852236.053519394</v>
      </c>
      <c r="Z270" s="159">
        <f t="shared" si="90"/>
        <v>20368073.837702453</v>
      </c>
      <c r="AA270" s="159">
        <f t="shared" si="90"/>
        <v>24167161.583800465</v>
      </c>
      <c r="AB270" s="159">
        <f t="shared" si="90"/>
        <v>28257545.03847482</v>
      </c>
      <c r="AC270" s="159">
        <f t="shared" si="90"/>
        <v>32649556.43198991</v>
      </c>
      <c r="AD270" s="159">
        <f t="shared" si="90"/>
        <v>37353646.2776734</v>
      </c>
      <c r="AE270" s="159">
        <f t="shared" si="90"/>
        <v>42374361.00200945</v>
      </c>
      <c r="AF270" s="159">
        <f t="shared" si="90"/>
        <v>47725644.34429589</v>
      </c>
      <c r="AG270" s="159">
        <f t="shared" si="90"/>
        <v>57896443.09120147</v>
      </c>
      <c r="AH270" s="159">
        <f t="shared" si="90"/>
        <v>69891863.32355922</v>
      </c>
      <c r="AI270" s="159">
        <f t="shared" si="90"/>
        <v>82247146.16288772</v>
      </c>
      <c r="AJ270" s="159">
        <f t="shared" si="90"/>
        <v>94973087.48739608</v>
      </c>
    </row>
    <row r="271" spans="5:36" ht="12.75">
      <c r="E271" s="1"/>
      <c r="F271" s="242" t="s">
        <v>217</v>
      </c>
      <c r="G271" s="243">
        <f aca="true" t="shared" si="91" ref="G271:AJ271">G272-G273</f>
        <v>12.16188966445727</v>
      </c>
      <c r="H271" s="243">
        <f t="shared" si="91"/>
        <v>-1.0815011241583292</v>
      </c>
      <c r="I271" s="243">
        <f t="shared" si="91"/>
        <v>-0.5638158517881422</v>
      </c>
      <c r="J271" s="243">
        <f t="shared" si="91"/>
        <v>-0.015557806083830172</v>
      </c>
      <c r="K271" s="243">
        <f t="shared" si="91"/>
        <v>0.54930153483674</v>
      </c>
      <c r="L271" s="243">
        <f t="shared" si="91"/>
        <v>1.1175223410367572</v>
      </c>
      <c r="M271" s="243">
        <f t="shared" si="91"/>
        <v>1.7197688220363965</v>
      </c>
      <c r="N271" s="243">
        <f t="shared" si="91"/>
        <v>2.3914489741331586</v>
      </c>
      <c r="O271" s="243">
        <f t="shared" si="91"/>
        <v>3.073925589424416</v>
      </c>
      <c r="P271" s="243">
        <f t="shared" si="91"/>
        <v>3.7836329269782034</v>
      </c>
      <c r="Q271" s="243">
        <f t="shared" si="91"/>
        <v>4.515653222869606</v>
      </c>
      <c r="R271" s="243">
        <f t="shared" si="91"/>
        <v>5.276815796006833</v>
      </c>
      <c r="S271" s="243">
        <f t="shared" si="91"/>
        <v>6.061233454165809</v>
      </c>
      <c r="T271" s="243">
        <f t="shared" si="91"/>
        <v>6.854188554522057</v>
      </c>
      <c r="U271" s="243">
        <f t="shared" si="91"/>
        <v>7.679622838954174</v>
      </c>
      <c r="V271" s="243">
        <f t="shared" si="91"/>
        <v>8.53120669384365</v>
      </c>
      <c r="W271" s="243">
        <f t="shared" si="91"/>
        <v>9.407596944409839</v>
      </c>
      <c r="X271" s="243">
        <f t="shared" si="91"/>
        <v>10.31099843644444</v>
      </c>
      <c r="Y271" s="243">
        <f t="shared" si="91"/>
        <v>11.243638989075759</v>
      </c>
      <c r="Z271" s="243">
        <f t="shared" si="91"/>
        <v>12.20777008396895</v>
      </c>
      <c r="AA271" s="243">
        <f t="shared" si="91"/>
        <v>13.191276896173648</v>
      </c>
      <c r="AB271" s="243">
        <f t="shared" si="91"/>
        <v>14.2027203287304</v>
      </c>
      <c r="AC271" s="243">
        <f t="shared" si="91"/>
        <v>15.250039560816287</v>
      </c>
      <c r="AD271" s="243">
        <f t="shared" si="91"/>
        <v>16.33364529751212</v>
      </c>
      <c r="AE271" s="243">
        <f t="shared" si="91"/>
        <v>17.433037237277944</v>
      </c>
      <c r="AF271" s="243">
        <f t="shared" si="91"/>
        <v>18.580844938494582</v>
      </c>
      <c r="AG271" s="243">
        <f t="shared" si="91"/>
        <v>35.31527342675549</v>
      </c>
      <c r="AH271" s="243">
        <f t="shared" si="91"/>
        <v>41.65076469568667</v>
      </c>
      <c r="AI271" s="243">
        <f t="shared" si="91"/>
        <v>42.90028763655725</v>
      </c>
      <c r="AJ271" s="243">
        <f t="shared" si="91"/>
        <v>44.187296265653984</v>
      </c>
    </row>
    <row r="272" spans="5:36" ht="12.75">
      <c r="E272" s="1"/>
      <c r="F272" s="4" t="s">
        <v>218</v>
      </c>
      <c r="G272" s="244">
        <f>G262/'[1]KC format'!$P$13</f>
        <v>13.551828600636576</v>
      </c>
      <c r="H272" s="244">
        <f>H262/'[1]KC format'!$P$13</f>
        <v>20.65549713242795</v>
      </c>
      <c r="I272" s="244">
        <f>I262/'[1]KC format'!$P$13</f>
        <v>21.217437342234124</v>
      </c>
      <c r="J272" s="244">
        <f>J262/'[1]KC format'!$P$13</f>
        <v>21.795081264251145</v>
      </c>
      <c r="K272" s="244">
        <f>K262/'[1]KC format'!$P$13</f>
        <v>22.388876919963685</v>
      </c>
      <c r="L272" s="244">
        <f>L262/'[1]KC format'!$P$13</f>
        <v>22.99928530970329</v>
      </c>
      <c r="M272" s="244">
        <f>M262/'[1]KC format'!$P$13</f>
        <v>23.6267807927779</v>
      </c>
      <c r="N272" s="244">
        <f>N262/'[1]KC format'!$P$13</f>
        <v>24.335584216561244</v>
      </c>
      <c r="O272" s="244">
        <f>O262/'[1]KC format'!$P$13</f>
        <v>25.065651743058083</v>
      </c>
      <c r="P272" s="244">
        <f>P262/'[1]KC format'!$P$13</f>
        <v>25.817621295349827</v>
      </c>
      <c r="Q272" s="244">
        <f>Q262/'[1]KC format'!$P$13</f>
        <v>26.59214993421032</v>
      </c>
      <c r="R272" s="244">
        <f>R262/'[1]KC format'!$P$13</f>
        <v>27.389914432236626</v>
      </c>
      <c r="S272" s="244">
        <f>S262/'[1]KC format'!$P$13</f>
        <v>28.211611865203732</v>
      </c>
      <c r="T272" s="244">
        <f>T262/'[1]KC format'!$P$13</f>
        <v>29.057960221159846</v>
      </c>
      <c r="U272" s="244">
        <f>U262/'[1]KC format'!$P$13</f>
        <v>29.929699027794634</v>
      </c>
      <c r="V272" s="244">
        <f>V262/'[1]KC format'!$P$13</f>
        <v>30.827589998628486</v>
      </c>
      <c r="W272" s="244">
        <f>W262/'[1]KC format'!$P$13</f>
        <v>31.752417698587337</v>
      </c>
      <c r="X272" s="244">
        <f>X262/'[1]KC format'!$P$13</f>
        <v>32.70499022954496</v>
      </c>
      <c r="Y272" s="244">
        <f>Y262/'[1]KC format'!$P$13</f>
        <v>33.686139936431296</v>
      </c>
      <c r="Z272" s="244">
        <f>Z262/'[1]KC format'!$P$13</f>
        <v>34.696724134524246</v>
      </c>
      <c r="AA272" s="244">
        <f>AA262/'[1]KC format'!$P$13</f>
        <v>35.73762585855997</v>
      </c>
      <c r="AB272" s="244">
        <f>AB262/'[1]KC format'!$P$13</f>
        <v>36.809754634316775</v>
      </c>
      <c r="AC272" s="244">
        <f>AC262/'[1]KC format'!$P$13</f>
        <v>37.91404727334628</v>
      </c>
      <c r="AD272" s="244">
        <f>AD262/'[1]KC format'!$P$13</f>
        <v>39.05146869154667</v>
      </c>
      <c r="AE272" s="244">
        <f>AE262/'[1]KC format'!$P$13</f>
        <v>40.223012752293066</v>
      </c>
      <c r="AF272" s="244">
        <f>AF262/'[1]KC format'!$P$13</f>
        <v>41.429703134861846</v>
      </c>
      <c r="AG272" s="244">
        <f>AG262/'[1]KC format'!$P$13</f>
        <v>42.67259422890772</v>
      </c>
      <c r="AH272" s="244">
        <f>AH262/'[1]KC format'!$P$13</f>
        <v>43.95277205577496</v>
      </c>
      <c r="AI272" s="244">
        <f>AI262/'[1]KC format'!$P$13</f>
        <v>45.27135521744819</v>
      </c>
      <c r="AJ272" s="244">
        <f>AJ262/'[1]KC format'!$P$13</f>
        <v>46.62949587397165</v>
      </c>
    </row>
    <row r="273" spans="5:36" ht="12.75">
      <c r="E273" s="245">
        <f>ROUND(NPV($G$31,G273:AH273),0)</f>
        <v>221</v>
      </c>
      <c r="F273" s="4" t="s">
        <v>219</v>
      </c>
      <c r="G273" s="244">
        <f>G257/'[1]KC format'!$P$13</f>
        <v>1.389938936179306</v>
      </c>
      <c r="H273" s="244">
        <f>H257/'[1]KC format'!$P$13</f>
        <v>21.73699825658628</v>
      </c>
      <c r="I273" s="244">
        <f>I257/'[1]KC format'!$P$13</f>
        <v>21.781253194022266</v>
      </c>
      <c r="J273" s="244">
        <f>J257/'[1]KC format'!$P$13</f>
        <v>21.810639070334975</v>
      </c>
      <c r="K273" s="244">
        <f>K257/'[1]KC format'!$P$13</f>
        <v>21.839575385126945</v>
      </c>
      <c r="L273" s="244">
        <f>L257/'[1]KC format'!$P$13</f>
        <v>21.881762968666532</v>
      </c>
      <c r="M273" s="246">
        <f>M257/'[1]KC format'!$P$13</f>
        <v>21.907011970741504</v>
      </c>
      <c r="N273" s="246">
        <f>N257/'[1]KC format'!$P$13</f>
        <v>21.944135242428086</v>
      </c>
      <c r="O273" s="246">
        <f>O257/'[1]KC format'!$P$13</f>
        <v>21.991726153633667</v>
      </c>
      <c r="P273" s="246">
        <f>P257/'[1]KC format'!$P$13</f>
        <v>22.033988368371624</v>
      </c>
      <c r="Q273" s="246">
        <f>Q257/'[1]KC format'!$P$13</f>
        <v>22.076496711340713</v>
      </c>
      <c r="R273" s="246">
        <f>R257/'[1]KC format'!$P$13</f>
        <v>22.113098636229793</v>
      </c>
      <c r="S273" s="246">
        <f>S257/'[1]KC format'!$P$13</f>
        <v>22.150378411037924</v>
      </c>
      <c r="T273" s="246">
        <f>T257/'[1]KC format'!$P$13</f>
        <v>22.20377166663779</v>
      </c>
      <c r="U273" s="246">
        <f>U257/'[1]KC format'!$P$13</f>
        <v>22.25007618884046</v>
      </c>
      <c r="V273" s="246">
        <f>V257/'[1]KC format'!$P$13</f>
        <v>22.296383304784836</v>
      </c>
      <c r="W273" s="246">
        <f>W257/'[1]KC format'!$P$13</f>
        <v>22.344820754177498</v>
      </c>
      <c r="X273" s="246">
        <f>X257/'[1]KC format'!$P$13</f>
        <v>22.393991793100522</v>
      </c>
      <c r="Y273" s="246">
        <f>Y257/'[1]KC format'!$P$13</f>
        <v>22.442500947355537</v>
      </c>
      <c r="Z273" s="246">
        <f>Z257/'[1]KC format'!$P$13</f>
        <v>22.488954050555297</v>
      </c>
      <c r="AA273" s="246">
        <f>AA257/'[1]KC format'!$P$13</f>
        <v>22.546348962386325</v>
      </c>
      <c r="AB273" s="246">
        <f>AB257/'[1]KC format'!$P$13</f>
        <v>22.607034305586375</v>
      </c>
      <c r="AC273" s="246">
        <f>AC257/'[1]KC format'!$P$13</f>
        <v>22.66400771252999</v>
      </c>
      <c r="AD273" s="246">
        <f>AD257/'[1]KC format'!$P$13</f>
        <v>22.717823394034546</v>
      </c>
      <c r="AE273" s="246">
        <f>AE257/'[1]KC format'!$P$13</f>
        <v>22.789975515015122</v>
      </c>
      <c r="AF273" s="246">
        <f>AF257/'[1]KC format'!$P$13</f>
        <v>22.848858196367264</v>
      </c>
      <c r="AG273" s="246">
        <f>AG257/'[1]KC format'!$P$13</f>
        <v>7.357320802152231</v>
      </c>
      <c r="AH273" s="246">
        <f>AH257/'[1]KC format'!$P$13</f>
        <v>2.3020073600882864</v>
      </c>
      <c r="AI273" s="246">
        <f>AI257/'[1]KC format'!$P$13</f>
        <v>2.371067580890935</v>
      </c>
      <c r="AJ273" s="246">
        <f>AJ257/'[1]KC format'!$P$13</f>
        <v>2.4421996083176634</v>
      </c>
    </row>
    <row r="274" spans="5:67" s="249" customFormat="1" ht="12.75">
      <c r="E274" s="245">
        <f>ROUND(NPV($G$31,G274:AH274),0)</f>
        <v>171</v>
      </c>
      <c r="F274" s="247" t="s">
        <v>220</v>
      </c>
      <c r="G274" s="39">
        <f aca="true" t="shared" si="92" ref="G274:AJ274">G273/(1+$G$30)^(G254-1)</f>
        <v>1.389938936179306</v>
      </c>
      <c r="H274" s="39">
        <f t="shared" si="92"/>
        <v>21.10388180251095</v>
      </c>
      <c r="I274" s="39">
        <f t="shared" si="92"/>
        <v>20.53092015649191</v>
      </c>
      <c r="J274" s="39">
        <f t="shared" si="92"/>
        <v>19.959824430379204</v>
      </c>
      <c r="K274" s="39">
        <f t="shared" si="92"/>
        <v>19.404179861663586</v>
      </c>
      <c r="L274" s="39">
        <f t="shared" si="92"/>
        <v>18.875400954583856</v>
      </c>
      <c r="M274" s="248">
        <f t="shared" si="92"/>
        <v>18.346777636476368</v>
      </c>
      <c r="N274" s="248">
        <f t="shared" si="92"/>
        <v>17.842590089388803</v>
      </c>
      <c r="O274" s="248">
        <f t="shared" si="92"/>
        <v>17.36047170418171</v>
      </c>
      <c r="P274" s="248">
        <f t="shared" si="92"/>
        <v>16.887217365784863</v>
      </c>
      <c r="Q274" s="248">
        <f t="shared" si="92"/>
        <v>16.42698686514619</v>
      </c>
      <c r="R274" s="248">
        <f t="shared" si="92"/>
        <v>15.974972946339477</v>
      </c>
      <c r="S274" s="248">
        <f t="shared" si="92"/>
        <v>15.5358297561628</v>
      </c>
      <c r="T274" s="248">
        <f t="shared" si="92"/>
        <v>15.119688069299558</v>
      </c>
      <c r="U274" s="248">
        <f t="shared" si="92"/>
        <v>14.709921549263312</v>
      </c>
      <c r="V274" s="248">
        <f t="shared" si="92"/>
        <v>14.31120000791286</v>
      </c>
      <c r="W274" s="248">
        <f t="shared" si="92"/>
        <v>13.924553556802879</v>
      </c>
      <c r="X274" s="248">
        <f t="shared" si="92"/>
        <v>13.548733322938654</v>
      </c>
      <c r="Y274" s="248">
        <f t="shared" si="92"/>
        <v>13.18260403789996</v>
      </c>
      <c r="Z274" s="248">
        <f t="shared" si="92"/>
        <v>12.825136252647127</v>
      </c>
      <c r="AA274" s="248">
        <f t="shared" si="92"/>
        <v>12.48336676589754</v>
      </c>
      <c r="AB274" s="248">
        <f t="shared" si="92"/>
        <v>12.152394921419306</v>
      </c>
      <c r="AC274" s="248">
        <f t="shared" si="92"/>
        <v>11.828175665114482</v>
      </c>
      <c r="AD274" s="248">
        <f t="shared" si="92"/>
        <v>11.510933656040384</v>
      </c>
      <c r="AE274" s="248">
        <f t="shared" si="92"/>
        <v>11.211157806187325</v>
      </c>
      <c r="AF274" s="248">
        <f t="shared" si="92"/>
        <v>10.912741925854926</v>
      </c>
      <c r="AG274" s="248">
        <f t="shared" si="92"/>
        <v>3.411550864031618</v>
      </c>
      <c r="AH274" s="248">
        <f t="shared" si="92"/>
        <v>1.0363385198034654</v>
      </c>
      <c r="AI274" s="248">
        <f t="shared" si="92"/>
        <v>1.0363385198034654</v>
      </c>
      <c r="AJ274" s="248">
        <f t="shared" si="92"/>
        <v>1.0363385198034656</v>
      </c>
      <c r="AK274" s="248"/>
      <c r="AL274" s="248"/>
      <c r="AM274" s="248"/>
      <c r="AN274" s="248"/>
      <c r="AO274" s="248"/>
      <c r="AP274" s="248"/>
      <c r="AQ274" s="248"/>
      <c r="AR274" s="248"/>
      <c r="AS274" s="248"/>
      <c r="AT274" s="248"/>
      <c r="AU274" s="248"/>
      <c r="AV274" s="248"/>
      <c r="AW274" s="248"/>
      <c r="AX274" s="248"/>
      <c r="AY274" s="248"/>
      <c r="AZ274" s="248"/>
      <c r="BA274" s="248"/>
      <c r="BB274" s="248"/>
      <c r="BC274" s="248"/>
      <c r="BD274" s="248"/>
      <c r="BE274" s="248"/>
      <c r="BF274" s="248"/>
      <c r="BG274" s="248"/>
      <c r="BH274" s="248"/>
      <c r="BI274" s="248"/>
      <c r="BJ274" s="248"/>
      <c r="BK274" s="248"/>
      <c r="BL274" s="248"/>
      <c r="BM274" s="248"/>
      <c r="BN274" s="248"/>
      <c r="BO274" s="248"/>
    </row>
    <row r="275" spans="5:67" s="236" customFormat="1" ht="12.75">
      <c r="E275" s="231"/>
      <c r="F275" s="234"/>
      <c r="G275" s="234"/>
      <c r="H275" s="234"/>
      <c r="I275" s="234"/>
      <c r="J275" s="234"/>
      <c r="K275" s="234"/>
      <c r="L275" s="234"/>
      <c r="M275" s="235"/>
      <c r="N275" s="235"/>
      <c r="O275" s="235"/>
      <c r="P275" s="235"/>
      <c r="Q275" s="235"/>
      <c r="R275" s="235"/>
      <c r="S275" s="235"/>
      <c r="T275" s="235"/>
      <c r="U275" s="235"/>
      <c r="V275" s="235"/>
      <c r="W275" s="235"/>
      <c r="X275" s="235"/>
      <c r="Y275" s="235"/>
      <c r="Z275" s="235"/>
      <c r="AA275" s="235"/>
      <c r="AB275" s="235"/>
      <c r="AC275" s="235"/>
      <c r="AD275" s="235"/>
      <c r="AE275" s="235"/>
      <c r="AF275" s="235"/>
      <c r="AG275" s="235"/>
      <c r="AH275" s="235"/>
      <c r="AI275" s="235"/>
      <c r="AJ275" s="235"/>
      <c r="AK275" s="235"/>
      <c r="AL275" s="235"/>
      <c r="AM275" s="235"/>
      <c r="AN275" s="235"/>
      <c r="AO275" s="235"/>
      <c r="AP275" s="235"/>
      <c r="AQ275" s="235"/>
      <c r="AR275" s="235"/>
      <c r="AS275" s="235"/>
      <c r="AT275" s="235"/>
      <c r="AU275" s="235"/>
      <c r="AV275" s="235"/>
      <c r="AW275" s="235"/>
      <c r="AX275" s="235"/>
      <c r="AY275" s="235"/>
      <c r="AZ275" s="235"/>
      <c r="BA275" s="235"/>
      <c r="BB275" s="235"/>
      <c r="BC275" s="235"/>
      <c r="BD275" s="235"/>
      <c r="BE275" s="235"/>
      <c r="BF275" s="235"/>
      <c r="BG275" s="235"/>
      <c r="BH275" s="235"/>
      <c r="BI275" s="235"/>
      <c r="BJ275" s="235"/>
      <c r="BK275" s="235"/>
      <c r="BL275" s="235"/>
      <c r="BM275" s="235"/>
      <c r="BN275" s="235"/>
      <c r="BO275" s="235"/>
    </row>
    <row r="276" spans="5:12" ht="15.75">
      <c r="E276" s="250"/>
      <c r="F276" s="237" t="s">
        <v>130</v>
      </c>
      <c r="G276" s="2"/>
      <c r="H276" s="2"/>
      <c r="I276" s="2"/>
      <c r="J276" s="2"/>
      <c r="K276" s="2"/>
      <c r="L276" s="2"/>
    </row>
    <row r="277" spans="5:36" ht="12.75">
      <c r="E277" s="250"/>
      <c r="F277" s="4" t="s">
        <v>221</v>
      </c>
      <c r="G277" s="2">
        <f aca="true" t="shared" si="93" ref="G277:AJ277">G255</f>
        <v>2007</v>
      </c>
      <c r="H277" s="2">
        <f t="shared" si="93"/>
        <v>2008</v>
      </c>
      <c r="I277" s="2">
        <f t="shared" si="93"/>
        <v>2009</v>
      </c>
      <c r="J277" s="2">
        <f t="shared" si="93"/>
        <v>2010</v>
      </c>
      <c r="K277" s="2">
        <f t="shared" si="93"/>
        <v>2011</v>
      </c>
      <c r="L277" s="2">
        <f t="shared" si="93"/>
        <v>2012</v>
      </c>
      <c r="M277" s="5">
        <f t="shared" si="93"/>
        <v>2013</v>
      </c>
      <c r="N277" s="5">
        <f t="shared" si="93"/>
        <v>2014</v>
      </c>
      <c r="O277" s="5">
        <f t="shared" si="93"/>
        <v>2015</v>
      </c>
      <c r="P277" s="5">
        <f t="shared" si="93"/>
        <v>2016</v>
      </c>
      <c r="Q277" s="5">
        <f t="shared" si="93"/>
        <v>2017</v>
      </c>
      <c r="R277" s="5">
        <f t="shared" si="93"/>
        <v>2018</v>
      </c>
      <c r="S277" s="5">
        <f t="shared" si="93"/>
        <v>2019</v>
      </c>
      <c r="T277" s="5">
        <f t="shared" si="93"/>
        <v>2020</v>
      </c>
      <c r="U277" s="5">
        <f t="shared" si="93"/>
        <v>2021</v>
      </c>
      <c r="V277" s="5">
        <f t="shared" si="93"/>
        <v>2022</v>
      </c>
      <c r="W277" s="5">
        <f t="shared" si="93"/>
        <v>2023</v>
      </c>
      <c r="X277" s="5">
        <f t="shared" si="93"/>
        <v>2024</v>
      </c>
      <c r="Y277" s="5">
        <f t="shared" si="93"/>
        <v>2025</v>
      </c>
      <c r="Z277" s="5">
        <f t="shared" si="93"/>
        <v>2026</v>
      </c>
      <c r="AA277" s="5">
        <f t="shared" si="93"/>
        <v>2027</v>
      </c>
      <c r="AB277" s="5">
        <f t="shared" si="93"/>
        <v>2028</v>
      </c>
      <c r="AC277" s="5">
        <f t="shared" si="93"/>
        <v>2029</v>
      </c>
      <c r="AD277" s="5">
        <f t="shared" si="93"/>
        <v>2030</v>
      </c>
      <c r="AE277" s="5">
        <f t="shared" si="93"/>
        <v>2031</v>
      </c>
      <c r="AF277" s="5">
        <f t="shared" si="93"/>
        <v>2032</v>
      </c>
      <c r="AG277" s="5">
        <f t="shared" si="93"/>
        <v>2033</v>
      </c>
      <c r="AH277" s="5">
        <f t="shared" si="93"/>
        <v>2034</v>
      </c>
      <c r="AI277" s="5">
        <f t="shared" si="93"/>
        <v>2035</v>
      </c>
      <c r="AJ277" s="5">
        <f t="shared" si="93"/>
        <v>2036</v>
      </c>
    </row>
    <row r="278" spans="5:36" ht="12.75">
      <c r="E278" s="167">
        <f>ROUND(NPV($G$31,G278:AH278),-5)</f>
        <v>63500000</v>
      </c>
      <c r="F278" s="2" t="s">
        <v>222</v>
      </c>
      <c r="G278" s="30">
        <f aca="true" t="shared" si="94" ref="G278:AJ278">G257</f>
        <v>400302.4136196401</v>
      </c>
      <c r="H278" s="30">
        <f t="shared" si="94"/>
        <v>6260255.497896848</v>
      </c>
      <c r="I278" s="30">
        <f t="shared" si="94"/>
        <v>6273000.919878413</v>
      </c>
      <c r="J278" s="30">
        <f t="shared" si="94"/>
        <v>6281464.052256472</v>
      </c>
      <c r="K278" s="30">
        <f t="shared" si="94"/>
        <v>6289797.71091656</v>
      </c>
      <c r="L278" s="30">
        <f t="shared" si="94"/>
        <v>6301947.734975961</v>
      </c>
      <c r="M278" s="159">
        <f t="shared" si="94"/>
        <v>6309219.447573553</v>
      </c>
      <c r="N278" s="159">
        <f t="shared" si="94"/>
        <v>6319910.949819289</v>
      </c>
      <c r="O278" s="159">
        <f t="shared" si="94"/>
        <v>6333617.132246496</v>
      </c>
      <c r="P278" s="159">
        <f t="shared" si="94"/>
        <v>6345788.650091028</v>
      </c>
      <c r="Q278" s="159">
        <f t="shared" si="94"/>
        <v>6358031.0528661255</v>
      </c>
      <c r="R278" s="159">
        <f t="shared" si="94"/>
        <v>6368572.407234181</v>
      </c>
      <c r="S278" s="159">
        <f t="shared" si="94"/>
        <v>6379308.982378922</v>
      </c>
      <c r="T278" s="159">
        <f t="shared" si="94"/>
        <v>6394686.2399916835</v>
      </c>
      <c r="U278" s="159">
        <f t="shared" si="94"/>
        <v>6408021.942386053</v>
      </c>
      <c r="V278" s="159">
        <f t="shared" si="94"/>
        <v>6421358.391778032</v>
      </c>
      <c r="W278" s="159">
        <f t="shared" si="94"/>
        <v>6435308.377203119</v>
      </c>
      <c r="X278" s="159">
        <f t="shared" si="94"/>
        <v>6449469.63641295</v>
      </c>
      <c r="Y278" s="159">
        <f t="shared" si="94"/>
        <v>6463440.272838394</v>
      </c>
      <c r="Z278" s="159">
        <f t="shared" si="94"/>
        <v>6476818.766559925</v>
      </c>
      <c r="AA278" s="159">
        <f t="shared" si="94"/>
        <v>6493348.501167262</v>
      </c>
      <c r="AB278" s="159">
        <f t="shared" si="94"/>
        <v>6510825.880008875</v>
      </c>
      <c r="AC278" s="159">
        <f t="shared" si="94"/>
        <v>6527234.221208638</v>
      </c>
      <c r="AD278" s="159">
        <f t="shared" si="94"/>
        <v>6542733.137481949</v>
      </c>
      <c r="AE278" s="159">
        <f t="shared" si="94"/>
        <v>6563512.948324355</v>
      </c>
      <c r="AF278" s="159">
        <f t="shared" si="94"/>
        <v>6580471.160553772</v>
      </c>
      <c r="AG278" s="159">
        <f t="shared" si="94"/>
        <v>2118908.3910198426</v>
      </c>
      <c r="AH278" s="159">
        <f t="shared" si="94"/>
        <v>662978.1197054265</v>
      </c>
      <c r="AI278" s="159">
        <f t="shared" si="94"/>
        <v>682867.4632965893</v>
      </c>
      <c r="AJ278" s="159">
        <f t="shared" si="94"/>
        <v>703353.487195487</v>
      </c>
    </row>
    <row r="279" spans="5:36" ht="12.75">
      <c r="E279" s="167">
        <f>ROUND(NPV($G$31,G279:AH279),-5)</f>
        <v>12700000</v>
      </c>
      <c r="F279" s="2" t="s">
        <v>223</v>
      </c>
      <c r="G279" s="30">
        <f aca="true" t="shared" si="95" ref="G279:AJ279">G203</f>
        <v>0</v>
      </c>
      <c r="H279" s="30">
        <f t="shared" si="95"/>
        <v>1278313.1305338934</v>
      </c>
      <c r="I279" s="30">
        <f t="shared" si="95"/>
        <v>1279082.7923077645</v>
      </c>
      <c r="J279" s="30">
        <f t="shared" si="95"/>
        <v>1278856.4211978025</v>
      </c>
      <c r="K279" s="30">
        <f t="shared" si="95"/>
        <v>1278539.5016438556</v>
      </c>
      <c r="L279" s="30">
        <f t="shared" si="95"/>
        <v>1278992.2438637798</v>
      </c>
      <c r="M279" s="159">
        <f t="shared" si="95"/>
        <v>1278313.1305338934</v>
      </c>
      <c r="N279" s="159">
        <f t="shared" si="95"/>
        <v>1278313.1305338934</v>
      </c>
      <c r="O279" s="159">
        <f t="shared" si="95"/>
        <v>1278901.6954197949</v>
      </c>
      <c r="P279" s="159">
        <f t="shared" si="95"/>
        <v>1279082.7923077645</v>
      </c>
      <c r="Q279" s="159">
        <f t="shared" si="95"/>
        <v>1279205.032707144</v>
      </c>
      <c r="R279" s="159">
        <f t="shared" si="95"/>
        <v>1278879.0583087986</v>
      </c>
      <c r="S279" s="159">
        <f t="shared" si="95"/>
        <v>1278516.8645328593</v>
      </c>
      <c r="T279" s="159">
        <f t="shared" si="95"/>
        <v>1279087.3197299638</v>
      </c>
      <c r="U279" s="159">
        <f t="shared" si="95"/>
        <v>1279128.066529757</v>
      </c>
      <c r="V279" s="159">
        <f t="shared" si="95"/>
        <v>1279082.7923077645</v>
      </c>
      <c r="W279" s="159">
        <f t="shared" si="95"/>
        <v>1279082.7923077645</v>
      </c>
      <c r="X279" s="159">
        <f t="shared" si="95"/>
        <v>1279037.5180857722</v>
      </c>
      <c r="Y279" s="159">
        <f t="shared" si="95"/>
        <v>1278856.4211978025</v>
      </c>
      <c r="Z279" s="159">
        <f t="shared" si="95"/>
        <v>1278448.9531998707</v>
      </c>
      <c r="AA279" s="159">
        <f t="shared" si="95"/>
        <v>1278630.0500878403</v>
      </c>
      <c r="AB279" s="159">
        <f t="shared" si="95"/>
        <v>1278915.2776863927</v>
      </c>
      <c r="AC279" s="159">
        <f t="shared" si="95"/>
        <v>1278860.9486200018</v>
      </c>
      <c r="AD279" s="159">
        <f t="shared" si="95"/>
        <v>1278498.7548440623</v>
      </c>
      <c r="AE279" s="159">
        <f t="shared" si="95"/>
        <v>1279177.8681739487</v>
      </c>
      <c r="AF279" s="159">
        <f t="shared" si="95"/>
        <v>1278906.2228419941</v>
      </c>
      <c r="AG279" s="159">
        <f t="shared" si="95"/>
        <v>322307.1863640667</v>
      </c>
      <c r="AH279" s="159">
        <f t="shared" si="95"/>
        <v>0</v>
      </c>
      <c r="AI279" s="159">
        <f t="shared" si="95"/>
        <v>0</v>
      </c>
      <c r="AJ279" s="159">
        <f t="shared" si="95"/>
        <v>0</v>
      </c>
    </row>
    <row r="280" spans="5:36" ht="12.75">
      <c r="E280" s="167">
        <f>ROUND(NPV($G$31,G280:AH280),-5)</f>
        <v>76200000</v>
      </c>
      <c r="F280" s="153" t="s">
        <v>139</v>
      </c>
      <c r="G280" s="164">
        <f aca="true" t="shared" si="96" ref="G280:AJ280">SUM(G278:G279)</f>
        <v>400302.4136196401</v>
      </c>
      <c r="H280" s="164">
        <f t="shared" si="96"/>
        <v>7538568.628430742</v>
      </c>
      <c r="I280" s="164">
        <f t="shared" si="96"/>
        <v>7552083.712186177</v>
      </c>
      <c r="J280" s="164">
        <f t="shared" si="96"/>
        <v>7560320.473454275</v>
      </c>
      <c r="K280" s="164">
        <f t="shared" si="96"/>
        <v>7568337.212560415</v>
      </c>
      <c r="L280" s="164">
        <f t="shared" si="96"/>
        <v>7580939.978839741</v>
      </c>
      <c r="M280" s="165">
        <f t="shared" si="96"/>
        <v>7587532.578107446</v>
      </c>
      <c r="N280" s="165">
        <f t="shared" si="96"/>
        <v>7598224.080353183</v>
      </c>
      <c r="O280" s="165">
        <f t="shared" si="96"/>
        <v>7612518.827666291</v>
      </c>
      <c r="P280" s="165">
        <f t="shared" si="96"/>
        <v>7624871.442398792</v>
      </c>
      <c r="Q280" s="165">
        <f t="shared" si="96"/>
        <v>7637236.085573269</v>
      </c>
      <c r="R280" s="165">
        <f t="shared" si="96"/>
        <v>7647451.46554298</v>
      </c>
      <c r="S280" s="165">
        <f t="shared" si="96"/>
        <v>7657825.8469117815</v>
      </c>
      <c r="T280" s="165">
        <f t="shared" si="96"/>
        <v>7673773.559721647</v>
      </c>
      <c r="U280" s="165">
        <f t="shared" si="96"/>
        <v>7687150.00891581</v>
      </c>
      <c r="V280" s="165">
        <f t="shared" si="96"/>
        <v>7700441.184085797</v>
      </c>
      <c r="W280" s="165">
        <f t="shared" si="96"/>
        <v>7714391.169510883</v>
      </c>
      <c r="X280" s="165">
        <f t="shared" si="96"/>
        <v>7728507.154498722</v>
      </c>
      <c r="Y280" s="165">
        <f t="shared" si="96"/>
        <v>7742296.694036197</v>
      </c>
      <c r="Z280" s="165">
        <f t="shared" si="96"/>
        <v>7755267.719759796</v>
      </c>
      <c r="AA280" s="165">
        <f t="shared" si="96"/>
        <v>7771978.551255102</v>
      </c>
      <c r="AB280" s="165">
        <f t="shared" si="96"/>
        <v>7789741.157695268</v>
      </c>
      <c r="AC280" s="165">
        <f t="shared" si="96"/>
        <v>7806095.169828639</v>
      </c>
      <c r="AD280" s="165">
        <f t="shared" si="96"/>
        <v>7821231.892326011</v>
      </c>
      <c r="AE280" s="165">
        <f t="shared" si="96"/>
        <v>7842690.816498304</v>
      </c>
      <c r="AF280" s="165">
        <f t="shared" si="96"/>
        <v>7859377.383395766</v>
      </c>
      <c r="AG280" s="165">
        <f t="shared" si="96"/>
        <v>2441215.5773839094</v>
      </c>
      <c r="AH280" s="165">
        <f t="shared" si="96"/>
        <v>662978.1197054265</v>
      </c>
      <c r="AI280" s="165">
        <f t="shared" si="96"/>
        <v>682867.4632965893</v>
      </c>
      <c r="AJ280" s="165">
        <f t="shared" si="96"/>
        <v>703353.487195487</v>
      </c>
    </row>
    <row r="281" spans="5:12" ht="12.75">
      <c r="E281" s="250"/>
      <c r="F281" s="2"/>
      <c r="G281" s="2"/>
      <c r="H281" s="2"/>
      <c r="I281" s="2"/>
      <c r="J281" s="2"/>
      <c r="K281" s="2"/>
      <c r="L281" s="2"/>
    </row>
    <row r="282" spans="5:36" ht="12.75">
      <c r="E282" s="167">
        <f>ROUND(NPV($G$31,G282:AH282),-5)</f>
        <v>82300000</v>
      </c>
      <c r="F282" s="2" t="s">
        <v>224</v>
      </c>
      <c r="G282" s="30">
        <f aca="true" t="shared" si="97" ref="G282:AJ282">G262</f>
        <v>3902926.6369833336</v>
      </c>
      <c r="H282" s="30">
        <f t="shared" si="97"/>
        <v>5948783.174139249</v>
      </c>
      <c r="I282" s="30">
        <f t="shared" si="97"/>
        <v>6110621.954563428</v>
      </c>
      <c r="J282" s="30">
        <f t="shared" si="97"/>
        <v>6276983.40410433</v>
      </c>
      <c r="K282" s="30">
        <f t="shared" si="97"/>
        <v>6447996.552949541</v>
      </c>
      <c r="L282" s="30">
        <f t="shared" si="97"/>
        <v>6623794.169194547</v>
      </c>
      <c r="M282" s="159">
        <f t="shared" si="97"/>
        <v>6804512.868320036</v>
      </c>
      <c r="N282" s="159">
        <f t="shared" si="97"/>
        <v>7008648.254369638</v>
      </c>
      <c r="O282" s="159">
        <f t="shared" si="97"/>
        <v>7218907.702000728</v>
      </c>
      <c r="P282" s="159">
        <f t="shared" si="97"/>
        <v>7435474.93306075</v>
      </c>
      <c r="Q282" s="159">
        <f t="shared" si="97"/>
        <v>7658539.181052572</v>
      </c>
      <c r="R282" s="159">
        <f t="shared" si="97"/>
        <v>7888295.356484149</v>
      </c>
      <c r="S282" s="159">
        <f t="shared" si="97"/>
        <v>8124944.217178675</v>
      </c>
      <c r="T282" s="159">
        <f t="shared" si="97"/>
        <v>8368692.543694035</v>
      </c>
      <c r="U282" s="159">
        <f t="shared" si="97"/>
        <v>8619753.320004854</v>
      </c>
      <c r="V282" s="159">
        <f t="shared" si="97"/>
        <v>8878345.919605004</v>
      </c>
      <c r="W282" s="159">
        <f t="shared" si="97"/>
        <v>9144696.297193153</v>
      </c>
      <c r="X282" s="159">
        <f t="shared" si="97"/>
        <v>9419037.186108949</v>
      </c>
      <c r="Y282" s="159">
        <f t="shared" si="97"/>
        <v>9701608.301692214</v>
      </c>
      <c r="Z282" s="159">
        <f t="shared" si="97"/>
        <v>9992656.550742982</v>
      </c>
      <c r="AA282" s="159">
        <f t="shared" si="97"/>
        <v>10292436.247265272</v>
      </c>
      <c r="AB282" s="159">
        <f t="shared" si="97"/>
        <v>10601209.334683232</v>
      </c>
      <c r="AC282" s="159">
        <f t="shared" si="97"/>
        <v>10919245.614723727</v>
      </c>
      <c r="AD282" s="159">
        <f t="shared" si="97"/>
        <v>11246822.98316544</v>
      </c>
      <c r="AE282" s="159">
        <f t="shared" si="97"/>
        <v>11584227.672660403</v>
      </c>
      <c r="AF282" s="159">
        <f t="shared" si="97"/>
        <v>11931754.502840212</v>
      </c>
      <c r="AG282" s="159">
        <f t="shared" si="97"/>
        <v>12289707.137925424</v>
      </c>
      <c r="AH282" s="159">
        <f t="shared" si="97"/>
        <v>12658398.352063188</v>
      </c>
      <c r="AI282" s="159">
        <f t="shared" si="97"/>
        <v>13038150.302625079</v>
      </c>
      <c r="AJ282" s="159">
        <f t="shared" si="97"/>
        <v>13429294.811703835</v>
      </c>
    </row>
    <row r="283" spans="5:36" ht="12.75">
      <c r="E283" s="167">
        <f>ROUND(NPV($G$31,G283:AH283),-5)</f>
        <v>19700000</v>
      </c>
      <c r="F283" s="2" t="s">
        <v>225</v>
      </c>
      <c r="G283" s="30">
        <f aca="true" t="shared" si="98" ref="G283:AJ283">G209-G216</f>
        <v>1068070.261</v>
      </c>
      <c r="H283" s="30">
        <f t="shared" si="98"/>
        <v>1398456.8578299999</v>
      </c>
      <c r="I283" s="30">
        <f t="shared" si="98"/>
        <v>1440410.5635649</v>
      </c>
      <c r="J283" s="30">
        <f t="shared" si="98"/>
        <v>1483622.880471847</v>
      </c>
      <c r="K283" s="30">
        <f t="shared" si="98"/>
        <v>1528131.5668860027</v>
      </c>
      <c r="L283" s="30">
        <f t="shared" si="98"/>
        <v>1573975.5138925829</v>
      </c>
      <c r="M283" s="159">
        <f t="shared" si="98"/>
        <v>1621194.7793093603</v>
      </c>
      <c r="N283" s="159">
        <f t="shared" si="98"/>
        <v>1669830.6226886413</v>
      </c>
      <c r="O283" s="159">
        <f t="shared" si="98"/>
        <v>1719925.5413693006</v>
      </c>
      <c r="P283" s="159">
        <f t="shared" si="98"/>
        <v>1771523.3076103795</v>
      </c>
      <c r="Q283" s="159">
        <f t="shared" si="98"/>
        <v>1824669.0068386914</v>
      </c>
      <c r="R283" s="159">
        <f t="shared" si="98"/>
        <v>1879409.0770438518</v>
      </c>
      <c r="S283" s="159">
        <f t="shared" si="98"/>
        <v>1935791.3493551672</v>
      </c>
      <c r="T283" s="159">
        <f t="shared" si="98"/>
        <v>1993865.089835823</v>
      </c>
      <c r="U283" s="159">
        <f t="shared" si="98"/>
        <v>2053681.042530898</v>
      </c>
      <c r="V283" s="159">
        <f t="shared" si="98"/>
        <v>2115291.473806825</v>
      </c>
      <c r="W283" s="159">
        <f t="shared" si="98"/>
        <v>2178750.21802103</v>
      </c>
      <c r="X283" s="159">
        <f t="shared" si="98"/>
        <v>2244112.7245616615</v>
      </c>
      <c r="Y283" s="159">
        <f t="shared" si="98"/>
        <v>2311436.106298512</v>
      </c>
      <c r="Z283" s="159">
        <f t="shared" si="98"/>
        <v>2380779.1894874666</v>
      </c>
      <c r="AA283" s="159">
        <f t="shared" si="98"/>
        <v>2452202.5651720907</v>
      </c>
      <c r="AB283" s="159">
        <f t="shared" si="98"/>
        <v>2525768.6421272536</v>
      </c>
      <c r="AC283" s="159">
        <f t="shared" si="98"/>
        <v>2601541.701391071</v>
      </c>
      <c r="AD283" s="159">
        <f t="shared" si="98"/>
        <v>2679587.9524328024</v>
      </c>
      <c r="AE283" s="159">
        <f t="shared" si="98"/>
        <v>2759975.5910057873</v>
      </c>
      <c r="AF283" s="159">
        <f t="shared" si="98"/>
        <v>2842774.8587359614</v>
      </c>
      <c r="AG283" s="159">
        <f t="shared" si="98"/>
        <v>2928058.1044980404</v>
      </c>
      <c r="AH283" s="159">
        <f t="shared" si="98"/>
        <v>3015899.847632982</v>
      </c>
      <c r="AI283" s="159">
        <f t="shared" si="98"/>
        <v>3106376.8430619715</v>
      </c>
      <c r="AJ283" s="159">
        <f t="shared" si="98"/>
        <v>3199568.1483538314</v>
      </c>
    </row>
    <row r="284" spans="5:36" ht="12.75">
      <c r="E284" s="167">
        <f>ROUND(NPV($G$31,G284:AH284),-5)</f>
        <v>102000000</v>
      </c>
      <c r="F284" s="153" t="s">
        <v>226</v>
      </c>
      <c r="G284" s="164">
        <f aca="true" t="shared" si="99" ref="G284:AJ284">SUM(G282:G283)</f>
        <v>4970996.897983333</v>
      </c>
      <c r="H284" s="164">
        <f t="shared" si="99"/>
        <v>7347240.031969249</v>
      </c>
      <c r="I284" s="164">
        <f t="shared" si="99"/>
        <v>7551032.518128328</v>
      </c>
      <c r="J284" s="164">
        <f t="shared" si="99"/>
        <v>7760606.284576177</v>
      </c>
      <c r="K284" s="164">
        <f t="shared" si="99"/>
        <v>7976128.119835544</v>
      </c>
      <c r="L284" s="164">
        <f t="shared" si="99"/>
        <v>8197769.68308713</v>
      </c>
      <c r="M284" s="165">
        <f t="shared" si="99"/>
        <v>8425707.647629395</v>
      </c>
      <c r="N284" s="165">
        <f t="shared" si="99"/>
        <v>8678478.877058279</v>
      </c>
      <c r="O284" s="165">
        <f t="shared" si="99"/>
        <v>8938833.243370028</v>
      </c>
      <c r="P284" s="165">
        <f t="shared" si="99"/>
        <v>9206998.24067113</v>
      </c>
      <c r="Q284" s="165">
        <f t="shared" si="99"/>
        <v>9483208.187891264</v>
      </c>
      <c r="R284" s="165">
        <f t="shared" si="99"/>
        <v>9767704.433528</v>
      </c>
      <c r="S284" s="165">
        <f t="shared" si="99"/>
        <v>10060735.566533843</v>
      </c>
      <c r="T284" s="165">
        <f t="shared" si="99"/>
        <v>10362557.633529859</v>
      </c>
      <c r="U284" s="165">
        <f t="shared" si="99"/>
        <v>10673434.362535752</v>
      </c>
      <c r="V284" s="165">
        <f t="shared" si="99"/>
        <v>10993637.393411828</v>
      </c>
      <c r="W284" s="165">
        <f t="shared" si="99"/>
        <v>11323446.515214182</v>
      </c>
      <c r="X284" s="165">
        <f t="shared" si="99"/>
        <v>11663149.91067061</v>
      </c>
      <c r="Y284" s="165">
        <f t="shared" si="99"/>
        <v>12013044.407990726</v>
      </c>
      <c r="Z284" s="165">
        <f t="shared" si="99"/>
        <v>12373435.740230449</v>
      </c>
      <c r="AA284" s="165">
        <f t="shared" si="99"/>
        <v>12744638.812437363</v>
      </c>
      <c r="AB284" s="165">
        <f t="shared" si="99"/>
        <v>13126977.976810485</v>
      </c>
      <c r="AC284" s="165">
        <f t="shared" si="99"/>
        <v>13520787.316114798</v>
      </c>
      <c r="AD284" s="165">
        <f t="shared" si="99"/>
        <v>13926410.935598241</v>
      </c>
      <c r="AE284" s="165">
        <f t="shared" si="99"/>
        <v>14344203.26366619</v>
      </c>
      <c r="AF284" s="165">
        <f t="shared" si="99"/>
        <v>14774529.361576173</v>
      </c>
      <c r="AG284" s="165">
        <f t="shared" si="99"/>
        <v>15217765.242423464</v>
      </c>
      <c r="AH284" s="165">
        <f t="shared" si="99"/>
        <v>15674298.19969617</v>
      </c>
      <c r="AI284" s="165">
        <f t="shared" si="99"/>
        <v>16144527.145687051</v>
      </c>
      <c r="AJ284" s="165">
        <f t="shared" si="99"/>
        <v>16628862.960057667</v>
      </c>
    </row>
    <row r="285" spans="5:12" ht="12.75">
      <c r="E285" s="250"/>
      <c r="F285" s="2"/>
      <c r="G285" s="2"/>
      <c r="H285" s="2"/>
      <c r="I285" s="2"/>
      <c r="J285" s="2"/>
      <c r="K285" s="2"/>
      <c r="L285" s="2"/>
    </row>
    <row r="286" spans="5:36" ht="12.75">
      <c r="E286" s="167">
        <f>ROUND(NPV($G$31,G286:AH286),-5)</f>
        <v>25800000</v>
      </c>
      <c r="F286" s="2" t="s">
        <v>227</v>
      </c>
      <c r="G286" s="164">
        <f aca="true" t="shared" si="100" ref="G286:AJ286">G284-G280</f>
        <v>4570694.484363693</v>
      </c>
      <c r="H286" s="164">
        <f t="shared" si="100"/>
        <v>-191328.5964614926</v>
      </c>
      <c r="I286" s="164">
        <f t="shared" si="100"/>
        <v>-1051.1940578492358</v>
      </c>
      <c r="J286" s="164">
        <f t="shared" si="100"/>
        <v>200285.8111219015</v>
      </c>
      <c r="K286" s="164">
        <f t="shared" si="100"/>
        <v>407790.9072751291</v>
      </c>
      <c r="L286" s="164">
        <f t="shared" si="100"/>
        <v>616829.704247389</v>
      </c>
      <c r="M286" s="165">
        <f t="shared" si="100"/>
        <v>838175.0695219487</v>
      </c>
      <c r="N286" s="165">
        <f t="shared" si="100"/>
        <v>1080254.796705096</v>
      </c>
      <c r="O286" s="165">
        <f t="shared" si="100"/>
        <v>1326314.4157037372</v>
      </c>
      <c r="P286" s="165">
        <f t="shared" si="100"/>
        <v>1582126.7982723378</v>
      </c>
      <c r="Q286" s="165">
        <f t="shared" si="100"/>
        <v>1845972.1023179945</v>
      </c>
      <c r="R286" s="165">
        <f t="shared" si="100"/>
        <v>2120252.967985021</v>
      </c>
      <c r="S286" s="165">
        <f t="shared" si="100"/>
        <v>2402909.7196220616</v>
      </c>
      <c r="T286" s="165">
        <f t="shared" si="100"/>
        <v>2688784.073808212</v>
      </c>
      <c r="U286" s="165">
        <f t="shared" si="100"/>
        <v>2986284.3536199424</v>
      </c>
      <c r="V286" s="165">
        <f t="shared" si="100"/>
        <v>3293196.2093260316</v>
      </c>
      <c r="W286" s="165">
        <f t="shared" si="100"/>
        <v>3609055.345703299</v>
      </c>
      <c r="X286" s="165">
        <f t="shared" si="100"/>
        <v>3934642.7561718877</v>
      </c>
      <c r="Y286" s="165">
        <f t="shared" si="100"/>
        <v>4270747.713954529</v>
      </c>
      <c r="Z286" s="165">
        <f t="shared" si="100"/>
        <v>4618168.020470653</v>
      </c>
      <c r="AA286" s="165">
        <f t="shared" si="100"/>
        <v>4972660.261182261</v>
      </c>
      <c r="AB286" s="165">
        <f t="shared" si="100"/>
        <v>5337236.819115217</v>
      </c>
      <c r="AC286" s="165">
        <f t="shared" si="100"/>
        <v>5714692.146286159</v>
      </c>
      <c r="AD286" s="165">
        <f t="shared" si="100"/>
        <v>6105179.04327223</v>
      </c>
      <c r="AE286" s="165">
        <f t="shared" si="100"/>
        <v>6501512.447167886</v>
      </c>
      <c r="AF286" s="165">
        <f t="shared" si="100"/>
        <v>6915151.978180408</v>
      </c>
      <c r="AG286" s="165">
        <f t="shared" si="100"/>
        <v>12776549.665039554</v>
      </c>
      <c r="AH286" s="165">
        <f t="shared" si="100"/>
        <v>15011320.079990745</v>
      </c>
      <c r="AI286" s="165">
        <f t="shared" si="100"/>
        <v>15461659.682390463</v>
      </c>
      <c r="AJ286" s="165">
        <f t="shared" si="100"/>
        <v>15925509.47286218</v>
      </c>
    </row>
    <row r="287" spans="5:36" ht="12.75">
      <c r="E287" s="250"/>
      <c r="F287" s="2" t="s">
        <v>228</v>
      </c>
      <c r="G287" s="30">
        <f>G286</f>
        <v>4570694.484363693</v>
      </c>
      <c r="H287" s="30">
        <f aca="true" t="shared" si="101" ref="H287:AJ287">G287+H286</f>
        <v>4379365.8879022</v>
      </c>
      <c r="I287" s="30">
        <f t="shared" si="101"/>
        <v>4378314.693844351</v>
      </c>
      <c r="J287" s="30">
        <f t="shared" si="101"/>
        <v>4578600.5049662525</v>
      </c>
      <c r="K287" s="30">
        <f t="shared" si="101"/>
        <v>4986391.412241382</v>
      </c>
      <c r="L287" s="30">
        <f t="shared" si="101"/>
        <v>5603221.116488771</v>
      </c>
      <c r="M287" s="159">
        <f t="shared" si="101"/>
        <v>6441396.186010719</v>
      </c>
      <c r="N287" s="159">
        <f t="shared" si="101"/>
        <v>7521650.982715815</v>
      </c>
      <c r="O287" s="159">
        <f t="shared" si="101"/>
        <v>8847965.398419552</v>
      </c>
      <c r="P287" s="159">
        <f t="shared" si="101"/>
        <v>10430092.19669189</v>
      </c>
      <c r="Q287" s="159">
        <f t="shared" si="101"/>
        <v>12276064.299009884</v>
      </c>
      <c r="R287" s="159">
        <f t="shared" si="101"/>
        <v>14396317.266994905</v>
      </c>
      <c r="S287" s="159">
        <f t="shared" si="101"/>
        <v>16799226.986616965</v>
      </c>
      <c r="T287" s="159">
        <f t="shared" si="101"/>
        <v>19488011.060425177</v>
      </c>
      <c r="U287" s="159">
        <f t="shared" si="101"/>
        <v>22474295.414045118</v>
      </c>
      <c r="V287" s="159">
        <f t="shared" si="101"/>
        <v>25767491.62337115</v>
      </c>
      <c r="W287" s="159">
        <f t="shared" si="101"/>
        <v>29376546.96907445</v>
      </c>
      <c r="X287" s="159">
        <f t="shared" si="101"/>
        <v>33311189.72524634</v>
      </c>
      <c r="Y287" s="159">
        <f t="shared" si="101"/>
        <v>37581937.43920087</v>
      </c>
      <c r="Z287" s="159">
        <f t="shared" si="101"/>
        <v>42200105.45967153</v>
      </c>
      <c r="AA287" s="159">
        <f t="shared" si="101"/>
        <v>47172765.72085379</v>
      </c>
      <c r="AB287" s="159">
        <f t="shared" si="101"/>
        <v>52510002.539969005</v>
      </c>
      <c r="AC287" s="159">
        <f t="shared" si="101"/>
        <v>58224694.686255164</v>
      </c>
      <c r="AD287" s="159">
        <f t="shared" si="101"/>
        <v>64329873.72952739</v>
      </c>
      <c r="AE287" s="159">
        <f t="shared" si="101"/>
        <v>70831386.17669527</v>
      </c>
      <c r="AF287" s="159">
        <f t="shared" si="101"/>
        <v>77746538.15487568</v>
      </c>
      <c r="AG287" s="159">
        <f t="shared" si="101"/>
        <v>90523087.81991524</v>
      </c>
      <c r="AH287" s="159">
        <f t="shared" si="101"/>
        <v>105534407.89990598</v>
      </c>
      <c r="AI287" s="159">
        <f t="shared" si="101"/>
        <v>120996067.58229645</v>
      </c>
      <c r="AJ287" s="159">
        <f t="shared" si="101"/>
        <v>136921577.05515862</v>
      </c>
    </row>
    <row r="288" ht="12.75">
      <c r="E288" s="251"/>
    </row>
    <row r="289" ht="12.75" hidden="1">
      <c r="E289" s="251"/>
    </row>
    <row r="290" ht="12.75" hidden="1">
      <c r="E290" s="251"/>
    </row>
    <row r="291" ht="12.75" hidden="1">
      <c r="E291" s="251"/>
    </row>
    <row r="292" ht="12.75" hidden="1">
      <c r="E292" s="251"/>
    </row>
    <row r="293" ht="12.75" hidden="1">
      <c r="E293" s="251"/>
    </row>
    <row r="294" ht="12.75" hidden="1">
      <c r="E294" s="251"/>
    </row>
    <row r="295" spans="6:7" ht="22.5" hidden="1">
      <c r="F295" s="187" t="s">
        <v>229</v>
      </c>
      <c r="G295" s="253" t="e">
        <f>ROUND(#REF!,-5)</f>
        <v>#REF!</v>
      </c>
    </row>
    <row r="296" spans="6:7" ht="22.5" hidden="1">
      <c r="F296" s="187" t="s">
        <v>230</v>
      </c>
      <c r="G296" s="253" t="e">
        <f>ROUND(#REF!,-5)</f>
        <v>#REF!</v>
      </c>
    </row>
    <row r="297" spans="6:7" ht="22.5" hidden="1">
      <c r="F297" s="187" t="s">
        <v>231</v>
      </c>
      <c r="G297" s="253" t="e">
        <f>ROUND(#REF!,-5)</f>
        <v>#REF!</v>
      </c>
    </row>
    <row r="298" spans="6:7" ht="22.5" hidden="1">
      <c r="F298" s="187" t="s">
        <v>232</v>
      </c>
      <c r="G298" s="253" t="e">
        <f>ROUND(#REF!,-5)</f>
        <v>#REF!</v>
      </c>
    </row>
    <row r="299" ht="12.75">
      <c r="G299" s="254"/>
    </row>
    <row r="300" ht="12.75">
      <c r="F300" s="166" t="s">
        <v>233</v>
      </c>
    </row>
    <row r="301" spans="6:11" ht="12.75">
      <c r="F301" s="255" t="s">
        <v>72</v>
      </c>
      <c r="G301" s="255" t="s">
        <v>74</v>
      </c>
      <c r="H301" s="256" t="s">
        <v>75</v>
      </c>
      <c r="I301" s="256">
        <v>2007</v>
      </c>
      <c r="J301" s="256"/>
      <c r="K301" s="256"/>
    </row>
    <row r="302" spans="6:11" ht="12.75">
      <c r="F302" s="137" t="s">
        <v>104</v>
      </c>
      <c r="G302" s="137" t="s">
        <v>105</v>
      </c>
      <c r="H302" s="257">
        <v>38391</v>
      </c>
      <c r="I302" s="258">
        <v>829629.51</v>
      </c>
      <c r="J302" s="259"/>
      <c r="K302" s="259"/>
    </row>
    <row r="303" spans="6:11" ht="12.75">
      <c r="F303" s="137" t="s">
        <v>104</v>
      </c>
      <c r="G303" s="137" t="s">
        <v>77</v>
      </c>
      <c r="H303" s="257">
        <v>45446</v>
      </c>
      <c r="I303" s="258">
        <v>982088.06</v>
      </c>
      <c r="J303" s="259"/>
      <c r="K303" s="259"/>
    </row>
    <row r="304" spans="6:11" ht="12.75">
      <c r="F304" s="137" t="s">
        <v>78</v>
      </c>
      <c r="G304" s="137" t="s">
        <v>79</v>
      </c>
      <c r="H304" s="257">
        <v>79807</v>
      </c>
      <c r="I304" s="258">
        <v>1276912</v>
      </c>
      <c r="J304" s="259"/>
      <c r="K304" s="259"/>
    </row>
    <row r="305" spans="6:11" ht="12.75">
      <c r="F305" s="137" t="s">
        <v>106</v>
      </c>
      <c r="G305" s="137" t="s">
        <v>107</v>
      </c>
      <c r="H305" s="257">
        <v>4409</v>
      </c>
      <c r="I305" s="258">
        <v>132270</v>
      </c>
      <c r="J305" s="259"/>
      <c r="K305" s="259"/>
    </row>
    <row r="306" spans="6:11" ht="12.75">
      <c r="F306" s="137" t="s">
        <v>106</v>
      </c>
      <c r="G306" s="137" t="s">
        <v>108</v>
      </c>
      <c r="H306" s="257">
        <v>46936</v>
      </c>
      <c r="I306" s="258">
        <v>891784</v>
      </c>
      <c r="J306" s="259"/>
      <c r="K306" s="259"/>
    </row>
    <row r="307" spans="6:11" ht="12.75">
      <c r="F307" s="137" t="s">
        <v>109</v>
      </c>
      <c r="G307" s="137" t="s">
        <v>107</v>
      </c>
      <c r="H307" s="257">
        <v>16797</v>
      </c>
      <c r="I307" s="258">
        <v>290893.385475</v>
      </c>
      <c r="J307" s="259"/>
      <c r="K307" s="259"/>
    </row>
    <row r="308" spans="6:11" ht="12.75">
      <c r="F308" s="137" t="s">
        <v>234</v>
      </c>
      <c r="G308" s="137" t="s">
        <v>235</v>
      </c>
      <c r="H308" s="257">
        <v>7200</v>
      </c>
      <c r="I308" s="258">
        <v>144000</v>
      </c>
      <c r="J308" s="259"/>
      <c r="K308" s="259"/>
    </row>
    <row r="309" spans="6:11" ht="12.75">
      <c r="F309" s="137" t="s">
        <v>114</v>
      </c>
      <c r="G309" s="137" t="s">
        <v>115</v>
      </c>
      <c r="H309" s="257">
        <v>3000</v>
      </c>
      <c r="I309" s="258">
        <v>69000</v>
      </c>
      <c r="J309" s="259"/>
      <c r="K309" s="259"/>
    </row>
    <row r="310" spans="6:11" ht="12.75">
      <c r="F310" s="137" t="s">
        <v>236</v>
      </c>
      <c r="G310" s="137" t="s">
        <v>237</v>
      </c>
      <c r="H310" s="257">
        <v>16670</v>
      </c>
      <c r="I310" s="258">
        <v>208375</v>
      </c>
      <c r="J310" s="259"/>
      <c r="K310" s="259"/>
    </row>
    <row r="311" spans="6:11" ht="12.75">
      <c r="F311" s="137" t="s">
        <v>119</v>
      </c>
      <c r="G311" s="137"/>
      <c r="H311" s="259">
        <v>12500</v>
      </c>
      <c r="I311" s="258">
        <v>125000</v>
      </c>
      <c r="J311" s="259"/>
      <c r="K311" s="259"/>
    </row>
    <row r="312" spans="6:12" ht="13.5" customHeight="1">
      <c r="F312" s="260" t="s">
        <v>238</v>
      </c>
      <c r="G312" s="137"/>
      <c r="H312" s="137"/>
      <c r="I312" s="258"/>
      <c r="J312" s="261"/>
      <c r="K312" s="261"/>
      <c r="L312" s="261"/>
    </row>
    <row r="313" spans="6:12" ht="12.75">
      <c r="F313" s="260"/>
      <c r="G313" s="262" t="s">
        <v>239</v>
      </c>
      <c r="H313" s="263">
        <f>SUM(H302:H311)</f>
        <v>271156</v>
      </c>
      <c r="I313" s="264">
        <f>SUM(I302:I311)</f>
        <v>4949951.955475001</v>
      </c>
      <c r="J313" s="261"/>
      <c r="K313" s="261"/>
      <c r="L313" s="261"/>
    </row>
    <row r="314" spans="10:12" ht="12.75">
      <c r="J314" s="261"/>
      <c r="K314" s="261"/>
      <c r="L314" s="261"/>
    </row>
    <row r="315" ht="12.75">
      <c r="I315" s="12"/>
    </row>
    <row r="316" ht="12.75" hidden="1">
      <c r="F316" s="166" t="s">
        <v>240</v>
      </c>
    </row>
    <row r="317" ht="12.75" hidden="1">
      <c r="F317" s="166" t="s">
        <v>241</v>
      </c>
    </row>
    <row r="318" spans="6:8" ht="12.75" hidden="1">
      <c r="F318" s="5" t="s">
        <v>242</v>
      </c>
      <c r="G318" s="154" t="e">
        <f>#REF!-#REF!</f>
        <v>#REF!</v>
      </c>
      <c r="H318" s="5" t="s">
        <v>243</v>
      </c>
    </row>
    <row r="319" spans="6:8" ht="12.75" hidden="1">
      <c r="F319" s="5" t="s">
        <v>244</v>
      </c>
      <c r="G319" s="154">
        <f>'[2]Comparison worksheet'!$B$34</f>
        <v>-4253779.831333475</v>
      </c>
      <c r="H319" s="5" t="s">
        <v>245</v>
      </c>
    </row>
    <row r="320" spans="6:8" ht="12.75" hidden="1">
      <c r="F320" s="5" t="s">
        <v>246</v>
      </c>
      <c r="G320" s="154">
        <f>-'[2]Comparison worksheet'!$B$51</f>
        <v>2346394.147755045</v>
      </c>
      <c r="H320" s="5" t="s">
        <v>247</v>
      </c>
    </row>
    <row r="321" spans="6:8" ht="12.75" hidden="1">
      <c r="F321" s="5" t="s">
        <v>248</v>
      </c>
      <c r="G321" s="154">
        <f>'[2]Comparison worksheet'!$B$39</f>
        <v>1677218.9058119897</v>
      </c>
      <c r="H321" s="5" t="s">
        <v>249</v>
      </c>
    </row>
    <row r="322" spans="6:8" ht="12.75" hidden="1">
      <c r="F322" s="5" t="s">
        <v>250</v>
      </c>
      <c r="G322" s="154">
        <f>'[2]Comparison worksheet'!$B$43</f>
        <v>2952103.194625799</v>
      </c>
      <c r="H322" s="5" t="s">
        <v>251</v>
      </c>
    </row>
    <row r="323" ht="12.75" hidden="1">
      <c r="G323" s="154"/>
    </row>
    <row r="324" spans="6:7" ht="12.75" hidden="1">
      <c r="F324" s="5" t="s">
        <v>252</v>
      </c>
      <c r="G324" s="65" t="e">
        <f>SUM(G318:G323)</f>
        <v>#REF!</v>
      </c>
    </row>
    <row r="325" ht="12.75" hidden="1"/>
    <row r="326" spans="6:7" ht="12.75" hidden="1">
      <c r="F326" s="5" t="s">
        <v>253</v>
      </c>
      <c r="G326" s="265">
        <f>'[3]Cashflow and Economics'!$H$53</f>
        <v>11165306.642272592</v>
      </c>
    </row>
    <row r="327" spans="6:7" ht="12.75" hidden="1">
      <c r="F327" s="5" t="s">
        <v>254</v>
      </c>
      <c r="G327" s="265" t="e">
        <f>#REF!</f>
        <v>#REF!</v>
      </c>
    </row>
    <row r="328" ht="12.75" hidden="1"/>
    <row r="329" spans="6:7" ht="12.75" hidden="1">
      <c r="F329" s="5" t="s">
        <v>255</v>
      </c>
      <c r="G329" s="265" t="e">
        <f>G327-G326</f>
        <v>#REF!</v>
      </c>
    </row>
    <row r="331" ht="12.75" hidden="1"/>
    <row r="332" spans="8:10" ht="12.75" hidden="1">
      <c r="H332" s="6"/>
      <c r="I332" s="266" t="s">
        <v>256</v>
      </c>
      <c r="J332" s="6"/>
    </row>
    <row r="333" spans="8:10" ht="12.75" hidden="1">
      <c r="H333" s="6">
        <v>2005</v>
      </c>
      <c r="I333" s="267">
        <v>-990000</v>
      </c>
      <c r="J333" s="155"/>
    </row>
    <row r="334" spans="8:10" ht="12.75" hidden="1">
      <c r="H334" s="6">
        <f aca="true" t="shared" si="102" ref="H334:H341">H333+1</f>
        <v>2006</v>
      </c>
      <c r="I334" s="267">
        <v>-1080000</v>
      </c>
      <c r="J334" s="155"/>
    </row>
    <row r="335" spans="8:10" ht="12.75" hidden="1">
      <c r="H335" s="6">
        <f t="shared" si="102"/>
        <v>2007</v>
      </c>
      <c r="I335" s="267">
        <v>-1210000</v>
      </c>
      <c r="J335" s="155"/>
    </row>
    <row r="336" spans="8:10" ht="12.75" hidden="1">
      <c r="H336" s="6">
        <f t="shared" si="102"/>
        <v>2008</v>
      </c>
      <c r="I336" s="267">
        <v>-1230000</v>
      </c>
      <c r="J336" s="155"/>
    </row>
    <row r="337" spans="8:10" ht="12.75" hidden="1">
      <c r="H337" s="6">
        <f t="shared" si="102"/>
        <v>2009</v>
      </c>
      <c r="I337" s="267">
        <v>-1380000</v>
      </c>
      <c r="J337" s="155"/>
    </row>
    <row r="338" spans="8:10" ht="12.75" hidden="1">
      <c r="H338" s="6">
        <f t="shared" si="102"/>
        <v>2010</v>
      </c>
      <c r="I338" s="267">
        <v>-1380000</v>
      </c>
      <c r="J338" s="155"/>
    </row>
    <row r="339" spans="8:10" ht="12.75" hidden="1">
      <c r="H339" s="6">
        <f t="shared" si="102"/>
        <v>2011</v>
      </c>
      <c r="I339" s="267">
        <v>-1410000</v>
      </c>
      <c r="J339" s="155"/>
    </row>
    <row r="340" spans="8:10" ht="12.75" hidden="1">
      <c r="H340" s="6">
        <f t="shared" si="102"/>
        <v>2012</v>
      </c>
      <c r="I340" s="267">
        <v>-1580000</v>
      </c>
      <c r="J340" s="155"/>
    </row>
    <row r="341" spans="8:10" ht="12.75" hidden="1">
      <c r="H341" s="6">
        <f t="shared" si="102"/>
        <v>2013</v>
      </c>
      <c r="I341" s="267">
        <v>-1750000</v>
      </c>
      <c r="J341" s="155"/>
    </row>
    <row r="342" spans="8:10" ht="12.75" hidden="1">
      <c r="H342" s="6"/>
      <c r="I342" s="6"/>
      <c r="J342" s="6"/>
    </row>
    <row r="343" spans="8:10" ht="12.75" hidden="1">
      <c r="H343" s="6" t="s">
        <v>257</v>
      </c>
      <c r="I343" s="155">
        <f>SUM(I333:I342)</f>
        <v>-12010000</v>
      </c>
      <c r="J343" s="155"/>
    </row>
    <row r="344" spans="8:10" ht="12.75" hidden="1">
      <c r="H344" s="6" t="s">
        <v>258</v>
      </c>
      <c r="I344" s="267">
        <f>ROUND(NPV(0.08,I333:I341),-4)</f>
        <v>-8070000</v>
      </c>
      <c r="J344" s="268"/>
    </row>
  </sheetData>
  <printOptions horizontalCentered="1" verticalCentered="1"/>
  <pageMargins left="0.25" right="0.25" top="0.5" bottom="0.5" header="0.5" footer="0.5"/>
  <pageSetup fitToHeight="1" fitToWidth="1" horizontalDpi="600" verticalDpi="600" orientation="landscape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John, Polly</dc:creator>
  <cp:keywords/>
  <dc:description/>
  <cp:lastModifiedBy>St. John, Polly</cp:lastModifiedBy>
  <cp:lastPrinted>2006-11-07T00:48:20Z</cp:lastPrinted>
  <dcterms:created xsi:type="dcterms:W3CDTF">2006-11-07T00:47:57Z</dcterms:created>
  <dcterms:modified xsi:type="dcterms:W3CDTF">2006-11-07T00:49:14Z</dcterms:modified>
  <cp:category/>
  <cp:version/>
  <cp:contentType/>
  <cp:contentStatus/>
</cp:coreProperties>
</file>