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kc1-portal6.sharepoint.com/legislative_review/2025 Leg Tracker/2502-5452 DNRP/"/>
    </mc:Choice>
  </mc:AlternateContent>
  <xr:revisionPtr revIDLastSave="101" documentId="8_{34EADAED-F496-4D47-9C08-5129A07B7C4E}" xr6:coauthVersionLast="47" xr6:coauthVersionMax="47" xr10:uidLastSave="{B09AD503-5874-44D8-950F-9BD1DBE52F23}"/>
  <bookViews>
    <workbookView xWindow="-120" yWindow="-120" windowWidth="29040" windowHeight="15720" xr2:uid="{5AFD3376-C953-4229-AD52-C159BD1F44F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I33" i="1"/>
  <c r="C33" i="1"/>
  <c r="D33" i="1"/>
  <c r="E33" i="1"/>
  <c r="F33" i="1"/>
  <c r="G33" i="1"/>
  <c r="B33" i="1"/>
  <c r="F9" i="1"/>
  <c r="G9" i="1" s="1"/>
  <c r="I23" i="1"/>
  <c r="H23" i="1"/>
  <c r="G23" i="1"/>
  <c r="F23" i="1"/>
  <c r="E23" i="1"/>
  <c r="D23" i="1"/>
  <c r="I19" i="1"/>
  <c r="I26" i="1" s="1"/>
  <c r="H19" i="1"/>
  <c r="G19" i="1"/>
  <c r="G26" i="1" s="1"/>
  <c r="G29" i="1" s="1"/>
  <c r="E19" i="1"/>
  <c r="E20" i="1" s="1"/>
  <c r="D19" i="1"/>
  <c r="D26" i="1" s="1"/>
  <c r="D29" i="1" s="1"/>
  <c r="F15" i="1"/>
  <c r="F19" i="1" s="1"/>
  <c r="C15" i="1"/>
  <c r="C19" i="1" s="1"/>
  <c r="C26" i="1" s="1"/>
  <c r="C29" i="1" s="1"/>
  <c r="B15" i="1"/>
  <c r="B19" i="1" s="1"/>
  <c r="B26" i="1" s="1"/>
  <c r="E13" i="1"/>
  <c r="D13" i="1"/>
  <c r="C13" i="1"/>
  <c r="B13" i="1"/>
  <c r="G12" i="1"/>
  <c r="I7" i="1"/>
  <c r="H7" i="1"/>
  <c r="G7" i="1"/>
  <c r="B29" i="1" l="1"/>
  <c r="F13" i="1"/>
  <c r="I27" i="1"/>
  <c r="I29" i="1" s="1"/>
  <c r="H9" i="1"/>
  <c r="I9" i="1" s="1"/>
  <c r="H12" i="1"/>
  <c r="I12" i="1" s="1"/>
  <c r="C24" i="1"/>
  <c r="C31" i="1" s="1"/>
  <c r="D20" i="1"/>
  <c r="G13" i="1"/>
  <c r="H26" i="1"/>
  <c r="H29" i="1" s="1"/>
  <c r="B24" i="1"/>
  <c r="F26" i="1"/>
  <c r="E26" i="1"/>
  <c r="F24" i="1" l="1"/>
  <c r="G5" i="1" s="1"/>
  <c r="G24" i="1" s="1"/>
  <c r="H13" i="1"/>
  <c r="I13" i="1"/>
  <c r="E29" i="1"/>
  <c r="F29" i="1"/>
  <c r="B31" i="1"/>
  <c r="E5" i="1"/>
  <c r="D5" i="1"/>
  <c r="H5" i="1" l="1"/>
  <c r="H24" i="1" s="1"/>
  <c r="I5" i="1" s="1"/>
  <c r="I24" i="1" s="1"/>
  <c r="G31" i="1"/>
  <c r="D24" i="1"/>
  <c r="F31" i="1"/>
  <c r="E24" i="1"/>
  <c r="H31" i="1" l="1"/>
  <c r="I31" i="1"/>
  <c r="E34" i="1"/>
  <c r="E31" i="1"/>
  <c r="D31" i="1"/>
  <c r="D34" i="1"/>
</calcChain>
</file>

<file path=xl/sharedStrings.xml><?xml version="1.0" encoding="utf-8"?>
<sst xmlns="http://schemas.openxmlformats.org/spreadsheetml/2006/main" count="49" uniqueCount="49">
  <si>
    <t>Financial Plan</t>
  </si>
  <si>
    <t>Parks and Recreation Operating Fund/000001451</t>
  </si>
  <si>
    <t>Category</t>
  </si>
  <si>
    <t>2023-2024 Actuals</t>
  </si>
  <si>
    <t>2025 Adopted</t>
  </si>
  <si>
    <t>2019-2020 Current Budget</t>
  </si>
  <si>
    <t>2019-2020 Biennial-to-Date Actuals</t>
  </si>
  <si>
    <t>2025 Estimated</t>
  </si>
  <si>
    <t>2026-2027 Projected</t>
  </si>
  <si>
    <t>2028-2029 Projected</t>
  </si>
  <si>
    <t>2030-2031 Projected</t>
  </si>
  <si>
    <t xml:space="preserve">Beginning Fund Balance </t>
  </si>
  <si>
    <t>Revenues</t>
  </si>
  <si>
    <t>King County Parks Levy Proceeds</t>
  </si>
  <si>
    <t>Federal Shared Revenues</t>
  </si>
  <si>
    <t>Business Revenue</t>
  </si>
  <si>
    <t>Parks Open Space and Trails Levy Revenue</t>
  </si>
  <si>
    <t>Parks Open Space and Zoo Levy Revenue</t>
  </si>
  <si>
    <t>Interest Earnings and Other Miscellaneous</t>
  </si>
  <si>
    <t>Total Revenues</t>
  </si>
  <si>
    <t xml:space="preserve">Expenditures </t>
  </si>
  <si>
    <t>Parks Operations &amp; Maintenance</t>
  </si>
  <si>
    <t>WSU Cooperative / 4-H</t>
  </si>
  <si>
    <t>King County Seach and Rescue</t>
  </si>
  <si>
    <t>Total Expenditures</t>
  </si>
  <si>
    <r>
      <t>Estimated Underexpenditures</t>
    </r>
    <r>
      <rPr>
        <b/>
        <vertAlign val="superscript"/>
        <sz val="12"/>
        <rFont val="Aptos Narrow"/>
        <family val="2"/>
        <scheme val="minor"/>
      </rPr>
      <t xml:space="preserve"> </t>
    </r>
  </si>
  <si>
    <t>Other Fund Transactions</t>
  </si>
  <si>
    <t>Total Other Fund Transactions</t>
  </si>
  <si>
    <t>Ending Fund Balance</t>
  </si>
  <si>
    <t>Reserves</t>
  </si>
  <si>
    <t>Cash Flow Reserve</t>
  </si>
  <si>
    <t>Rainy Day Reserves</t>
  </si>
  <si>
    <t>Targeted Equity Grants Carry Forward</t>
  </si>
  <si>
    <t>Total Reserves</t>
  </si>
  <si>
    <t xml:space="preserve">Reserve Shortfall </t>
  </si>
  <si>
    <t>Ending Undesignated Fund Balance</t>
  </si>
  <si>
    <t xml:space="preserve">Financial Plan Notes </t>
  </si>
  <si>
    <t xml:space="preserve">2023-2024 Actuals reflects preliminary year-end data for 2024 as reported in the GL-10 report 2/5/2025. 
2019-2020 Adopted Budget is a one-year budget; 2019-2020 Estimated includes estimates for a yet to be proposed 2020 supplemental budget.
Outyear revenue and expenditure inflation assumptions are consistent with figures provided by PSB and/or OEFA.  </t>
  </si>
  <si>
    <t>Revenues Notes:</t>
  </si>
  <si>
    <t>• Business revenue includes user fees and entrepreneurial efforts to support the park system and reduce the burden on taxpayers. Starting in 2026, the target is to grow by three percent annually.</t>
  </si>
  <si>
    <t>Expenditure Notes:</t>
  </si>
  <si>
    <t>• Parks will continue to contribute $151,000 funding, on a reimbursement basis, to the Washington State University Cooperative Extension in order to operate the 4-H program in King County and $200,000 funding on a reimbursement basis, to King County Search and Rescue Association for its operations.</t>
  </si>
  <si>
    <t xml:space="preserve">Reserve Notes (see next page): </t>
  </si>
  <si>
    <t xml:space="preserve">• The Cash Flow Reserve is set to three-months of budgeted expenditures, in compliance with Motion 13764, because the main revenue for this fund is a property tax which is collected in the second quarter of each year.  This reserve stabilizes the fund's cash balance from dipping below zero before the property tax payments are made in April and October. </t>
  </si>
  <si>
    <t xml:space="preserve">This plan was updated by Andrea V. Smith February 5, 2025 and Elka Peterson Horner on February 10, 2025. </t>
  </si>
  <si>
    <t xml:space="preserve">• Miscellaneous revenue includes interest earnings, delinquent levy proceeds from the previous levy term, and a levy administration fee. A levy administration fee for 2026-2031 has been proposed at 1% for expenditures related to administration and distribution of levy proceeds). </t>
  </si>
  <si>
    <t>Healthy Communities &amp; Parks Fund (formerly TEG)</t>
  </si>
  <si>
    <t>• The 2020-2025 King County Parks Levy expires at the end of 2025. Revenue estimates beyond 2025 are based on a 24.43 cent proposed levy renewal option.</t>
  </si>
  <si>
    <t xml:space="preserve">• The Rainy Day Reserve is set to 90 days of expenditures at the end of the levy period, in compliance with Motion 13764 and the King County Comprehensive Financial Management Policy.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</si>
</sst>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2"/>
      <name val="Aptos Narrow"/>
      <family val="2"/>
      <scheme val="minor"/>
    </font>
    <font>
      <sz val="12"/>
      <name val="Times New Roman"/>
      <family val="1"/>
    </font>
    <font>
      <sz val="12"/>
      <name val="Aptos Narrow"/>
      <family val="2"/>
      <scheme val="minor"/>
    </font>
    <font>
      <b/>
      <vertAlign val="superscript"/>
      <sz val="12"/>
      <name val="Aptos Narrow"/>
      <family val="2"/>
      <scheme val="minor"/>
    </font>
    <font>
      <sz val="11"/>
      <name val="Aptos Narrow"/>
      <family val="2"/>
      <scheme val="minor"/>
    </font>
    <font>
      <i/>
      <u/>
      <sz val="11"/>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0" fontId="3" fillId="0" borderId="0"/>
    <xf numFmtId="37" fontId="5" fillId="0" borderId="0"/>
    <xf numFmtId="43"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3" fillId="2" borderId="0" xfId="1" applyFill="1" applyProtection="1">
      <protection locked="0"/>
    </xf>
    <xf numFmtId="37" fontId="4" fillId="2" borderId="1" xfId="2" applyFont="1" applyFill="1" applyBorder="1" applyAlignment="1" applyProtection="1">
      <alignment horizontal="left" wrapText="1"/>
      <protection locked="0"/>
    </xf>
    <xf numFmtId="37" fontId="4" fillId="2" borderId="2" xfId="2" applyFont="1" applyFill="1" applyBorder="1" applyAlignment="1" applyProtection="1">
      <alignment horizontal="center" wrapText="1"/>
      <protection locked="0"/>
    </xf>
    <xf numFmtId="37" fontId="4" fillId="2" borderId="1" xfId="2" applyFont="1" applyFill="1" applyBorder="1" applyAlignment="1" applyProtection="1">
      <alignment horizontal="center" wrapText="1"/>
      <protection locked="0"/>
    </xf>
    <xf numFmtId="37" fontId="4" fillId="2" borderId="1" xfId="2" applyFont="1" applyFill="1" applyBorder="1" applyAlignment="1" applyProtection="1">
      <alignment horizontal="left"/>
      <protection locked="0"/>
    </xf>
    <xf numFmtId="164" fontId="4" fillId="2" borderId="1" xfId="3" applyNumberFormat="1" applyFont="1" applyFill="1" applyBorder="1" applyAlignment="1" applyProtection="1">
      <alignment horizontal="right" indent="1"/>
      <protection locked="0"/>
    </xf>
    <xf numFmtId="37" fontId="4" fillId="2" borderId="4" xfId="2" applyFont="1" applyFill="1" applyBorder="1" applyAlignment="1" applyProtection="1">
      <alignment horizontal="left" vertical="center"/>
      <protection locked="0"/>
    </xf>
    <xf numFmtId="164" fontId="4" fillId="2" borderId="6" xfId="2" applyNumberFormat="1" applyFont="1" applyFill="1" applyBorder="1" applyAlignment="1" applyProtection="1">
      <alignment horizontal="right" vertical="center" indent="1"/>
      <protection locked="0"/>
    </xf>
    <xf numFmtId="164" fontId="6" fillId="2" borderId="6" xfId="2" applyNumberFormat="1" applyFont="1" applyFill="1" applyBorder="1" applyAlignment="1" applyProtection="1">
      <alignment horizontal="right" indent="1"/>
      <protection locked="0"/>
    </xf>
    <xf numFmtId="164" fontId="6" fillId="2" borderId="5" xfId="3" applyNumberFormat="1" applyFont="1" applyFill="1" applyBorder="1" applyAlignment="1" applyProtection="1">
      <alignment horizontal="right" vertical="center" indent="1"/>
      <protection locked="0"/>
    </xf>
    <xf numFmtId="37" fontId="6" fillId="2" borderId="4" xfId="2" applyFont="1" applyFill="1" applyBorder="1" applyAlignment="1" applyProtection="1">
      <alignment horizontal="left"/>
      <protection locked="0"/>
    </xf>
    <xf numFmtId="164" fontId="6" fillId="2" borderId="6" xfId="2" applyNumberFormat="1" applyFont="1" applyFill="1" applyBorder="1" applyAlignment="1" applyProtection="1">
      <alignment horizontal="right" vertical="center" indent="1"/>
      <protection locked="0"/>
    </xf>
    <xf numFmtId="164" fontId="6" fillId="2" borderId="4" xfId="3" applyNumberFormat="1" applyFont="1" applyFill="1" applyBorder="1" applyAlignment="1" applyProtection="1">
      <alignment horizontal="right" vertical="center" indent="1"/>
      <protection locked="0"/>
    </xf>
    <xf numFmtId="37" fontId="4" fillId="2" borderId="3" xfId="2" applyFont="1" applyFill="1" applyBorder="1" applyAlignment="1" applyProtection="1">
      <alignment horizontal="left" vertical="center"/>
      <protection locked="0"/>
    </xf>
    <xf numFmtId="164" fontId="4" fillId="2" borderId="8" xfId="3" applyNumberFormat="1" applyFont="1" applyFill="1" applyBorder="1" applyAlignment="1" applyProtection="1">
      <alignment horizontal="right" vertical="center" indent="1"/>
      <protection locked="0"/>
    </xf>
    <xf numFmtId="164" fontId="4" fillId="2" borderId="3" xfId="3" applyNumberFormat="1" applyFont="1" applyFill="1" applyBorder="1" applyAlignment="1" applyProtection="1">
      <alignment horizontal="right" vertical="center" indent="1"/>
      <protection locked="0"/>
    </xf>
    <xf numFmtId="37" fontId="6" fillId="2" borderId="4" xfId="2" applyFont="1" applyFill="1" applyBorder="1" applyAlignment="1" applyProtection="1">
      <alignment horizontal="left" vertical="center"/>
      <protection locked="0"/>
    </xf>
    <xf numFmtId="37" fontId="4" fillId="2" borderId="1" xfId="2" applyFont="1" applyFill="1" applyBorder="1" applyAlignment="1" applyProtection="1">
      <alignment horizontal="left" vertical="center"/>
      <protection locked="0"/>
    </xf>
    <xf numFmtId="164" fontId="4" fillId="2" borderId="1" xfId="2" applyNumberFormat="1" applyFont="1" applyFill="1" applyBorder="1" applyAlignment="1" applyProtection="1">
      <alignment horizontal="right" vertical="center" indent="1"/>
      <protection locked="0"/>
    </xf>
    <xf numFmtId="164" fontId="4" fillId="2" borderId="4" xfId="2" applyNumberFormat="1" applyFont="1" applyFill="1" applyBorder="1" applyAlignment="1" applyProtection="1">
      <alignment horizontal="right" vertical="center" indent="1"/>
      <protection locked="0"/>
    </xf>
    <xf numFmtId="37" fontId="6" fillId="2" borderId="6" xfId="2" quotePrefix="1" applyFont="1" applyFill="1" applyBorder="1" applyAlignment="1" applyProtection="1">
      <alignment horizontal="left" vertical="center"/>
      <protection locked="0"/>
    </xf>
    <xf numFmtId="164" fontId="6" fillId="2" borderId="4" xfId="2" applyNumberFormat="1" applyFont="1" applyFill="1" applyBorder="1" applyAlignment="1" applyProtection="1">
      <alignment horizontal="right" indent="1"/>
      <protection locked="0"/>
    </xf>
    <xf numFmtId="164" fontId="6" fillId="2" borderId="1" xfId="3" quotePrefix="1" applyNumberFormat="1" applyFont="1" applyFill="1" applyBorder="1" applyAlignment="1" applyProtection="1">
      <alignment horizontal="right" vertical="center" indent="1"/>
      <protection locked="0"/>
    </xf>
    <xf numFmtId="164" fontId="6" fillId="2" borderId="7" xfId="3" applyNumberFormat="1" applyFont="1" applyFill="1" applyBorder="1" applyAlignment="1" applyProtection="1">
      <alignment horizontal="right" vertical="center" indent="1"/>
      <protection locked="0"/>
    </xf>
    <xf numFmtId="164" fontId="4" fillId="2" borderId="4" xfId="3" applyNumberFormat="1" applyFont="1" applyFill="1" applyBorder="1" applyAlignment="1" applyProtection="1">
      <alignment horizontal="right" vertical="center" indent="1"/>
      <protection locked="0"/>
    </xf>
    <xf numFmtId="164" fontId="6" fillId="2" borderId="4" xfId="2" applyNumberFormat="1" applyFont="1" applyFill="1" applyBorder="1" applyAlignment="1" applyProtection="1">
      <alignment horizontal="right" vertical="center" indent="1"/>
      <protection locked="0"/>
    </xf>
    <xf numFmtId="164" fontId="4" fillId="2" borderId="3" xfId="2" applyNumberFormat="1" applyFont="1" applyFill="1" applyBorder="1" applyAlignment="1" applyProtection="1">
      <alignment horizontal="right" vertical="center" indent="1"/>
      <protection locked="0"/>
    </xf>
    <xf numFmtId="164" fontId="4" fillId="2" borderId="3" xfId="5" applyNumberFormat="1" applyFont="1" applyFill="1" applyBorder="1" applyAlignment="1" applyProtection="1">
      <alignment horizontal="right" vertical="center" indent="1"/>
      <protection locked="0"/>
    </xf>
    <xf numFmtId="164" fontId="4" fillId="2" borderId="1" xfId="5" applyNumberFormat="1" applyFont="1" applyFill="1" applyBorder="1" applyAlignment="1" applyProtection="1">
      <alignment horizontal="right" vertical="center" indent="1"/>
      <protection locked="0"/>
    </xf>
    <xf numFmtId="0" fontId="4" fillId="2" borderId="0" xfId="1" applyFont="1" applyFill="1" applyAlignment="1" applyProtection="1">
      <alignment horizontal="center"/>
      <protection locked="0"/>
    </xf>
    <xf numFmtId="0" fontId="4" fillId="2" borderId="0" xfId="1" applyFont="1" applyFill="1" applyAlignment="1" applyProtection="1">
      <alignment horizontal="center"/>
      <protection locked="0"/>
    </xf>
    <xf numFmtId="0" fontId="4" fillId="2" borderId="0" xfId="0" applyFont="1" applyFill="1" applyAlignment="1" applyProtection="1">
      <alignment horizontal="center"/>
      <protection locked="0"/>
    </xf>
    <xf numFmtId="0" fontId="1" fillId="2" borderId="0" xfId="1" applyFont="1" applyFill="1" applyProtection="1">
      <protection locked="0"/>
    </xf>
    <xf numFmtId="164" fontId="3" fillId="2" borderId="0" xfId="1" applyNumberFormat="1" applyFill="1" applyProtection="1">
      <protection locked="0"/>
    </xf>
    <xf numFmtId="37" fontId="4" fillId="2" borderId="0" xfId="2" applyFont="1" applyFill="1" applyAlignment="1" applyProtection="1">
      <alignment horizontal="left"/>
      <protection locked="0"/>
    </xf>
    <xf numFmtId="37" fontId="6" fillId="2" borderId="0" xfId="2" applyFont="1" applyFill="1" applyProtection="1">
      <protection locked="0"/>
    </xf>
    <xf numFmtId="0" fontId="8" fillId="2" borderId="0" xfId="1" applyFont="1" applyFill="1" applyProtection="1">
      <protection locked="0"/>
    </xf>
    <xf numFmtId="37" fontId="8" fillId="2" borderId="0" xfId="2" applyFont="1" applyFill="1" applyAlignment="1" applyProtection="1">
      <alignment vertical="top" wrapText="1"/>
      <protection locked="0"/>
    </xf>
    <xf numFmtId="0" fontId="1" fillId="2" borderId="0" xfId="1" applyFont="1" applyFill="1" applyAlignment="1" applyProtection="1">
      <alignment vertical="top" wrapText="1"/>
      <protection locked="0"/>
    </xf>
    <xf numFmtId="0" fontId="8" fillId="2" borderId="0" xfId="0" quotePrefix="1" applyFont="1" applyFill="1" applyAlignment="1" applyProtection="1">
      <alignment horizontal="left" vertical="top" wrapText="1"/>
      <protection locked="0"/>
    </xf>
    <xf numFmtId="0" fontId="2" fillId="2" borderId="0" xfId="1" applyFont="1" applyFill="1" applyProtection="1">
      <protection locked="0"/>
    </xf>
    <xf numFmtId="0" fontId="8" fillId="2" borderId="0" xfId="0" quotePrefix="1" applyFont="1" applyFill="1" applyAlignment="1" applyProtection="1">
      <alignment horizontal="left" vertical="top" wrapText="1"/>
      <protection locked="0"/>
    </xf>
    <xf numFmtId="43" fontId="3" fillId="2" borderId="0" xfId="1" applyNumberFormat="1" applyFill="1" applyProtection="1">
      <protection locked="0"/>
    </xf>
    <xf numFmtId="0" fontId="9" fillId="2" borderId="0" xfId="1" applyFont="1" applyFill="1" applyAlignment="1" applyProtection="1">
      <alignment horizontal="left" vertical="center" wrapText="1"/>
      <protection locked="0"/>
    </xf>
    <xf numFmtId="0" fontId="8" fillId="2" borderId="0" xfId="1" applyFont="1" applyFill="1" applyAlignment="1" applyProtection="1">
      <alignment horizontal="left" vertical="center" wrapText="1"/>
      <protection locked="0"/>
    </xf>
  </cellXfs>
  <cellStyles count="6">
    <cellStyle name="Comma 2 2" xfId="3" xr:uid="{97DE0EF6-F47A-461C-AA82-E5F1A00C95C7}"/>
    <cellStyle name="Comma 3" xfId="5" xr:uid="{08D379A0-C760-45A2-B27E-CEACECE5928D}"/>
    <cellStyle name="Normal" xfId="0" builtinId="0"/>
    <cellStyle name="Normal 2 2" xfId="1" xr:uid="{7E1AF85B-09C0-4C46-ACC2-EC210B53266D}"/>
    <cellStyle name="Normal_AIRPLAN.XLS" xfId="2" xr:uid="{B581AE99-3469-4BD6-9EAA-4DCB53B23DEF}"/>
    <cellStyle name="Percent 2" xfId="4" xr:uid="{13F170F1-7E8E-446D-95D5-B5A316988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B873-BDC4-4DEC-B3A7-16D0ED1F3079}">
  <dimension ref="A1:O46"/>
  <sheetViews>
    <sheetView tabSelected="1" topLeftCell="A6" zoomScaleNormal="100" workbookViewId="0">
      <selection activeCell="N29" sqref="N29"/>
    </sheetView>
  </sheetViews>
  <sheetFormatPr defaultColWidth="9.42578125" defaultRowHeight="12.75" outlineLevelCol="2" x14ac:dyDescent="0.2"/>
  <cols>
    <col min="1" max="1" width="48.7109375" style="1" customWidth="1"/>
    <col min="2" max="2" width="16.42578125" style="1" customWidth="1"/>
    <col min="3" max="3" width="17" style="1" customWidth="1"/>
    <col min="4" max="5" width="15.140625" style="1" hidden="1" customWidth="1" outlineLevel="2"/>
    <col min="6" max="6" width="16.85546875" style="1" hidden="1" customWidth="1" outlineLevel="1" collapsed="1"/>
    <col min="7" max="7" width="18.140625" style="1" bestFit="1" customWidth="1" collapsed="1"/>
    <col min="8" max="8" width="18" style="1" customWidth="1"/>
    <col min="9" max="9" width="16.85546875" style="1" bestFit="1" customWidth="1"/>
    <col min="10" max="10" width="2.42578125" style="1" customWidth="1"/>
    <col min="11" max="11" width="14" style="1" bestFit="1" customWidth="1"/>
    <col min="12" max="15" width="9.42578125" style="1"/>
    <col min="16" max="17" width="13" style="1" bestFit="1" customWidth="1"/>
    <col min="18" max="16384" width="9.42578125" style="1"/>
  </cols>
  <sheetData>
    <row r="1" spans="1:11" ht="15.75" x14ac:dyDescent="0.25">
      <c r="A1" s="31" t="s">
        <v>0</v>
      </c>
      <c r="B1" s="31"/>
      <c r="C1" s="31"/>
      <c r="D1" s="31"/>
      <c r="E1" s="31"/>
      <c r="F1" s="31"/>
      <c r="G1" s="31"/>
      <c r="H1" s="31"/>
      <c r="I1" s="31"/>
    </row>
    <row r="2" spans="1:11" ht="15.75" x14ac:dyDescent="0.25">
      <c r="A2" s="32" t="s">
        <v>1</v>
      </c>
      <c r="B2" s="32"/>
      <c r="C2" s="32"/>
      <c r="D2" s="32"/>
      <c r="E2" s="32"/>
      <c r="F2" s="32"/>
      <c r="G2" s="32"/>
      <c r="H2" s="32"/>
      <c r="I2" s="32"/>
    </row>
    <row r="3" spans="1:11" ht="15.75" x14ac:dyDescent="0.25">
      <c r="A3" s="30"/>
      <c r="B3" s="30"/>
      <c r="C3" s="30"/>
      <c r="D3" s="30"/>
      <c r="E3" s="30"/>
      <c r="F3" s="30"/>
      <c r="G3" s="30"/>
      <c r="H3" s="30"/>
      <c r="I3" s="30"/>
    </row>
    <row r="4" spans="1:11" ht="47.25" x14ac:dyDescent="0.25">
      <c r="A4" s="2" t="s">
        <v>2</v>
      </c>
      <c r="B4" s="3" t="s">
        <v>3</v>
      </c>
      <c r="C4" s="4" t="s">
        <v>4</v>
      </c>
      <c r="D4" s="4" t="s">
        <v>5</v>
      </c>
      <c r="E4" s="4" t="s">
        <v>6</v>
      </c>
      <c r="F4" s="4" t="s">
        <v>7</v>
      </c>
      <c r="G4" s="4" t="s">
        <v>8</v>
      </c>
      <c r="H4" s="4" t="s">
        <v>9</v>
      </c>
      <c r="I4" s="4" t="s">
        <v>10</v>
      </c>
    </row>
    <row r="5" spans="1:11" ht="15.75" x14ac:dyDescent="0.25">
      <c r="A5" s="5" t="s">
        <v>11</v>
      </c>
      <c r="B5" s="6">
        <v>19355064.82</v>
      </c>
      <c r="C5" s="6">
        <v>28096719</v>
      </c>
      <c r="D5" s="6">
        <f>B24</f>
        <v>16821772.819999993</v>
      </c>
      <c r="E5" s="6">
        <f>B24</f>
        <v>16821772.819999993</v>
      </c>
      <c r="F5" s="6">
        <v>17479666.760000002</v>
      </c>
      <c r="G5" s="6">
        <f>F24</f>
        <v>8914049.7600000054</v>
      </c>
      <c r="H5" s="6">
        <f>G24</f>
        <v>23095331.25</v>
      </c>
      <c r="I5" s="6">
        <f>H24</f>
        <v>30308220.944700003</v>
      </c>
    </row>
    <row r="6" spans="1:11" ht="15.75" x14ac:dyDescent="0.25">
      <c r="A6" s="7" t="s">
        <v>12</v>
      </c>
      <c r="B6" s="8"/>
      <c r="C6" s="9"/>
      <c r="D6" s="10"/>
      <c r="E6" s="10"/>
      <c r="F6" s="10"/>
      <c r="G6" s="10"/>
      <c r="H6" s="10"/>
      <c r="I6" s="10"/>
    </row>
    <row r="7" spans="1:11" ht="15.75" x14ac:dyDescent="0.25">
      <c r="A7" s="11" t="s">
        <v>13</v>
      </c>
      <c r="B7" s="12">
        <v>115159287</v>
      </c>
      <c r="C7" s="9">
        <v>68791754</v>
      </c>
      <c r="D7" s="13"/>
      <c r="E7" s="13"/>
      <c r="F7" s="13">
        <v>68791754</v>
      </c>
      <c r="G7" s="13">
        <f>79460130+84894950</f>
        <v>164355080</v>
      </c>
      <c r="H7" s="13">
        <f>89606821+94746517</f>
        <v>184353338</v>
      </c>
      <c r="I7" s="13">
        <f>99818840+104948258</f>
        <v>204767098</v>
      </c>
    </row>
    <row r="8" spans="1:11" ht="15.75" x14ac:dyDescent="0.25">
      <c r="A8" s="11" t="s">
        <v>14</v>
      </c>
      <c r="B8" s="12">
        <v>518185</v>
      </c>
      <c r="C8" s="9">
        <v>0</v>
      </c>
      <c r="D8" s="13"/>
      <c r="E8" s="13"/>
      <c r="F8" s="13">
        <v>0</v>
      </c>
      <c r="G8" s="13">
        <v>0</v>
      </c>
      <c r="H8" s="13">
        <v>0</v>
      </c>
      <c r="I8" s="13">
        <v>0</v>
      </c>
    </row>
    <row r="9" spans="1:11" ht="15.75" x14ac:dyDescent="0.25">
      <c r="A9" s="11" t="s">
        <v>15</v>
      </c>
      <c r="B9" s="12">
        <v>13436272</v>
      </c>
      <c r="C9" s="9">
        <v>7909683</v>
      </c>
      <c r="D9" s="13"/>
      <c r="E9" s="13"/>
      <c r="F9" s="13">
        <f>9166454-F10-F11</f>
        <v>7909683</v>
      </c>
      <c r="G9" s="13">
        <f>F9*1.03</f>
        <v>8146973.4900000002</v>
      </c>
      <c r="H9" s="13">
        <f>G9*1.03</f>
        <v>8391382.6947000008</v>
      </c>
      <c r="I9" s="13">
        <f>H9*1.03</f>
        <v>8643124.1755410004</v>
      </c>
    </row>
    <row r="10" spans="1:11" ht="15.75" x14ac:dyDescent="0.25">
      <c r="A10" s="11" t="s">
        <v>16</v>
      </c>
      <c r="B10" s="12">
        <v>0</v>
      </c>
      <c r="C10" s="9">
        <v>1226878</v>
      </c>
      <c r="D10" s="13"/>
      <c r="E10" s="13"/>
      <c r="F10" s="13">
        <v>1226878</v>
      </c>
      <c r="G10" s="13">
        <v>0</v>
      </c>
      <c r="H10" s="13">
        <v>0</v>
      </c>
      <c r="I10" s="13">
        <v>0</v>
      </c>
    </row>
    <row r="11" spans="1:11" ht="15.75" x14ac:dyDescent="0.25">
      <c r="A11" s="11" t="s">
        <v>17</v>
      </c>
      <c r="B11" s="12">
        <v>0</v>
      </c>
      <c r="C11" s="9">
        <v>29893</v>
      </c>
      <c r="D11" s="13"/>
      <c r="E11" s="13"/>
      <c r="F11" s="13">
        <v>29893</v>
      </c>
      <c r="G11" s="13">
        <v>0</v>
      </c>
      <c r="H11" s="13">
        <v>0</v>
      </c>
      <c r="I11" s="13">
        <v>0</v>
      </c>
    </row>
    <row r="12" spans="1:11" ht="15.75" x14ac:dyDescent="0.25">
      <c r="A12" s="11" t="s">
        <v>18</v>
      </c>
      <c r="B12" s="12">
        <v>588709</v>
      </c>
      <c r="C12" s="9">
        <v>96000</v>
      </c>
      <c r="D12" s="13"/>
      <c r="E12" s="13"/>
      <c r="F12" s="13">
        <v>96000</v>
      </c>
      <c r="G12" s="13">
        <f>F12*1.05</f>
        <v>100800</v>
      </c>
      <c r="H12" s="13">
        <f>G12*1.05</f>
        <v>105840</v>
      </c>
      <c r="I12" s="13">
        <f>H12*1.05</f>
        <v>111132</v>
      </c>
    </row>
    <row r="13" spans="1:11" ht="15.75" x14ac:dyDescent="0.25">
      <c r="A13" s="14" t="s">
        <v>19</v>
      </c>
      <c r="B13" s="15">
        <f t="shared" ref="B13:I13" si="0">SUM(B7:B12)</f>
        <v>129702453</v>
      </c>
      <c r="C13" s="15">
        <f t="shared" si="0"/>
        <v>78054208</v>
      </c>
      <c r="D13" s="15">
        <f t="shared" si="0"/>
        <v>0</v>
      </c>
      <c r="E13" s="15">
        <f t="shared" si="0"/>
        <v>0</v>
      </c>
      <c r="F13" s="15">
        <f t="shared" si="0"/>
        <v>78054208</v>
      </c>
      <c r="G13" s="15">
        <f>SUM(G7:G12)</f>
        <v>172602853.49000001</v>
      </c>
      <c r="H13" s="16">
        <f t="shared" si="0"/>
        <v>192850560.6947</v>
      </c>
      <c r="I13" s="16">
        <f t="shared" si="0"/>
        <v>213521354.17554101</v>
      </c>
      <c r="K13" s="33"/>
    </row>
    <row r="14" spans="1:11" ht="15.75" x14ac:dyDescent="0.25">
      <c r="A14" s="7" t="s">
        <v>20</v>
      </c>
      <c r="B14" s="9"/>
      <c r="C14" s="9"/>
      <c r="D14" s="10"/>
      <c r="E14" s="10"/>
      <c r="F14" s="10"/>
      <c r="G14" s="10"/>
      <c r="H14" s="10"/>
      <c r="I14" s="10"/>
      <c r="K14" s="33"/>
    </row>
    <row r="15" spans="1:11" ht="15.75" x14ac:dyDescent="0.25">
      <c r="A15" s="17" t="s">
        <v>21</v>
      </c>
      <c r="B15" s="9">
        <f>132235745-B16-B17-B18</f>
        <v>124772839</v>
      </c>
      <c r="C15" s="9">
        <f>81327582+3000000</f>
        <v>84327582</v>
      </c>
      <c r="D15" s="13"/>
      <c r="E15" s="13"/>
      <c r="F15" s="13">
        <f>86619825-F17-F18-F16</f>
        <v>84327582</v>
      </c>
      <c r="G15" s="13">
        <v>147919572</v>
      </c>
      <c r="H15" s="13">
        <v>175135671</v>
      </c>
      <c r="I15" s="13">
        <v>194528743</v>
      </c>
      <c r="K15" s="33"/>
    </row>
    <row r="16" spans="1:11" ht="15.75" x14ac:dyDescent="0.25">
      <c r="A16" s="17" t="s">
        <v>46</v>
      </c>
      <c r="B16" s="12">
        <v>6932741</v>
      </c>
      <c r="C16" s="9">
        <v>1941243</v>
      </c>
      <c r="D16" s="13"/>
      <c r="E16" s="13"/>
      <c r="F16" s="13">
        <v>1941243</v>
      </c>
      <c r="G16" s="13">
        <v>10000000</v>
      </c>
      <c r="H16" s="13">
        <v>10000000</v>
      </c>
      <c r="I16" s="13">
        <v>10000000</v>
      </c>
      <c r="K16" s="33"/>
    </row>
    <row r="17" spans="1:11" ht="15.75" x14ac:dyDescent="0.25">
      <c r="A17" s="17" t="s">
        <v>22</v>
      </c>
      <c r="B17" s="12">
        <v>289427</v>
      </c>
      <c r="C17" s="9">
        <v>151000</v>
      </c>
      <c r="D17" s="13"/>
      <c r="E17" s="13"/>
      <c r="F17" s="13">
        <v>151000</v>
      </c>
      <c r="G17" s="13">
        <v>302000</v>
      </c>
      <c r="H17" s="13">
        <v>302000</v>
      </c>
      <c r="I17" s="13">
        <v>302000</v>
      </c>
      <c r="K17" s="33"/>
    </row>
    <row r="18" spans="1:11" ht="15.75" x14ac:dyDescent="0.25">
      <c r="A18" s="17" t="s">
        <v>23</v>
      </c>
      <c r="B18" s="12">
        <v>240738</v>
      </c>
      <c r="C18" s="9">
        <v>200000</v>
      </c>
      <c r="D18" s="13"/>
      <c r="E18" s="13"/>
      <c r="F18" s="13">
        <v>200000</v>
      </c>
      <c r="G18" s="13">
        <v>200000</v>
      </c>
      <c r="H18" s="13">
        <v>200000</v>
      </c>
      <c r="I18" s="13">
        <v>200000</v>
      </c>
      <c r="K18" s="33"/>
    </row>
    <row r="19" spans="1:11" ht="15.75" x14ac:dyDescent="0.2">
      <c r="A19" s="14" t="s">
        <v>24</v>
      </c>
      <c r="B19" s="16">
        <f t="shared" ref="B19:I19" si="1">SUM(B15:B18)</f>
        <v>132235745</v>
      </c>
      <c r="C19" s="16">
        <f t="shared" si="1"/>
        <v>86619825</v>
      </c>
      <c r="D19" s="16">
        <f t="shared" si="1"/>
        <v>0</v>
      </c>
      <c r="E19" s="16">
        <f t="shared" si="1"/>
        <v>0</v>
      </c>
      <c r="F19" s="16">
        <f t="shared" si="1"/>
        <v>86619825</v>
      </c>
      <c r="G19" s="16">
        <f t="shared" si="1"/>
        <v>158421572</v>
      </c>
      <c r="H19" s="16">
        <f t="shared" si="1"/>
        <v>185637671</v>
      </c>
      <c r="I19" s="16">
        <f t="shared" si="1"/>
        <v>205030743</v>
      </c>
    </row>
    <row r="20" spans="1:11" ht="18" x14ac:dyDescent="0.2">
      <c r="A20" s="18" t="s">
        <v>25</v>
      </c>
      <c r="B20" s="19"/>
      <c r="C20" s="19"/>
      <c r="D20" s="19">
        <f t="shared" ref="D20:E20" si="2">-5%*D19</f>
        <v>0</v>
      </c>
      <c r="E20" s="19">
        <f t="shared" si="2"/>
        <v>0</v>
      </c>
      <c r="F20" s="19"/>
      <c r="G20" s="19"/>
      <c r="H20" s="19"/>
      <c r="I20" s="19"/>
    </row>
    <row r="21" spans="1:11" ht="15.75" x14ac:dyDescent="0.2">
      <c r="A21" s="7" t="s">
        <v>26</v>
      </c>
      <c r="B21" s="20"/>
      <c r="C21" s="20"/>
      <c r="D21" s="13"/>
      <c r="E21" s="13"/>
      <c r="F21" s="13"/>
      <c r="G21" s="13"/>
      <c r="H21" s="13"/>
      <c r="I21" s="13"/>
    </row>
    <row r="22" spans="1:11" ht="15.75" x14ac:dyDescent="0.25">
      <c r="A22" s="21"/>
      <c r="B22" s="9"/>
      <c r="C22" s="9"/>
      <c r="D22" s="9"/>
      <c r="E22" s="9"/>
      <c r="F22" s="9"/>
      <c r="G22" s="9"/>
      <c r="H22" s="22"/>
      <c r="I22" s="22"/>
    </row>
    <row r="23" spans="1:11" ht="15.75" x14ac:dyDescent="0.2">
      <c r="A23" s="7" t="s">
        <v>27</v>
      </c>
      <c r="B23" s="16"/>
      <c r="C23" s="16"/>
      <c r="D23" s="16">
        <f t="shared" ref="D23:I23" si="3">SUM(D22:D22)</f>
        <v>0</v>
      </c>
      <c r="E23" s="16">
        <f t="shared" si="3"/>
        <v>0</v>
      </c>
      <c r="F23" s="16">
        <f t="shared" si="3"/>
        <v>0</v>
      </c>
      <c r="G23" s="16">
        <f t="shared" si="3"/>
        <v>0</v>
      </c>
      <c r="H23" s="16">
        <f t="shared" si="3"/>
        <v>0</v>
      </c>
      <c r="I23" s="16">
        <f t="shared" si="3"/>
        <v>0</v>
      </c>
    </row>
    <row r="24" spans="1:11" ht="15.75" x14ac:dyDescent="0.2">
      <c r="A24" s="18" t="s">
        <v>28</v>
      </c>
      <c r="B24" s="23">
        <f t="shared" ref="B24:I24" si="4">B5+B13-B19-B20-B23</f>
        <v>16821772.819999993</v>
      </c>
      <c r="C24" s="23">
        <f t="shared" si="4"/>
        <v>19531102</v>
      </c>
      <c r="D24" s="23">
        <f t="shared" si="4"/>
        <v>16821772.819999993</v>
      </c>
      <c r="E24" s="23">
        <f t="shared" si="4"/>
        <v>16821772.819999993</v>
      </c>
      <c r="F24" s="23">
        <f t="shared" si="4"/>
        <v>8914049.7600000054</v>
      </c>
      <c r="G24" s="23">
        <f t="shared" si="4"/>
        <v>23095331.25</v>
      </c>
      <c r="H24" s="23">
        <f t="shared" si="4"/>
        <v>30308220.944700003</v>
      </c>
      <c r="I24" s="23">
        <f t="shared" si="4"/>
        <v>38798832.120241016</v>
      </c>
    </row>
    <row r="25" spans="1:11" ht="15.75" x14ac:dyDescent="0.2">
      <c r="A25" s="7" t="s">
        <v>29</v>
      </c>
      <c r="B25" s="20"/>
      <c r="C25" s="20"/>
      <c r="D25" s="13"/>
      <c r="E25" s="13"/>
      <c r="F25" s="13"/>
      <c r="G25" s="13"/>
      <c r="H25" s="13"/>
      <c r="I25" s="13"/>
    </row>
    <row r="26" spans="1:11" ht="15.75" x14ac:dyDescent="0.25">
      <c r="A26" s="11" t="s">
        <v>30</v>
      </c>
      <c r="B26" s="24">
        <f>B19*0.125</f>
        <v>16529468.125</v>
      </c>
      <c r="C26" s="24">
        <f>C19*0.0625</f>
        <v>5413739.0625</v>
      </c>
      <c r="D26" s="24">
        <f t="shared" ref="D26:F26" si="5">D19*0.0625</f>
        <v>0</v>
      </c>
      <c r="E26" s="24">
        <f t="shared" si="5"/>
        <v>0</v>
      </c>
      <c r="F26" s="24">
        <f t="shared" si="5"/>
        <v>5413739.0625</v>
      </c>
      <c r="G26" s="13">
        <f>G19*0.125</f>
        <v>19802696.5</v>
      </c>
      <c r="H26" s="13">
        <f>H19*0.125</f>
        <v>23204708.875</v>
      </c>
      <c r="I26" s="13">
        <f>I19*0.125</f>
        <v>25628842.875</v>
      </c>
      <c r="K26" s="43"/>
    </row>
    <row r="27" spans="1:11" ht="15.75" x14ac:dyDescent="0.25">
      <c r="A27" s="11" t="s">
        <v>31</v>
      </c>
      <c r="B27" s="24"/>
      <c r="C27" s="24"/>
      <c r="D27" s="24"/>
      <c r="E27" s="24"/>
      <c r="F27" s="13"/>
      <c r="G27" s="13"/>
      <c r="H27" s="13"/>
      <c r="I27" s="13">
        <f>(I19/730)*90</f>
        <v>25277762.83561644</v>
      </c>
    </row>
    <row r="28" spans="1:11" ht="15.75" x14ac:dyDescent="0.25">
      <c r="A28" s="11" t="s">
        <v>32</v>
      </c>
      <c r="B28" s="13">
        <v>2449870.98</v>
      </c>
      <c r="C28" s="13"/>
      <c r="D28" s="13"/>
      <c r="E28" s="13"/>
      <c r="F28" s="13">
        <v>1200000</v>
      </c>
      <c r="G28" s="13">
        <v>3000000</v>
      </c>
      <c r="H28" s="13">
        <v>4500000</v>
      </c>
      <c r="I28" s="13">
        <v>1500000</v>
      </c>
    </row>
    <row r="29" spans="1:11" ht="15.75" x14ac:dyDescent="0.2">
      <c r="A29" s="7" t="s">
        <v>33</v>
      </c>
      <c r="B29" s="25">
        <f t="shared" ref="B29:I29" si="6">SUM(B26:B28)</f>
        <v>18979339.105</v>
      </c>
      <c r="C29" s="25">
        <f t="shared" si="6"/>
        <v>5413739.0625</v>
      </c>
      <c r="D29" s="25">
        <f t="shared" si="6"/>
        <v>0</v>
      </c>
      <c r="E29" s="25">
        <f t="shared" si="6"/>
        <v>0</v>
      </c>
      <c r="F29" s="25">
        <f t="shared" si="6"/>
        <v>6613739.0625</v>
      </c>
      <c r="G29" s="25">
        <f t="shared" si="6"/>
        <v>22802696.5</v>
      </c>
      <c r="H29" s="25">
        <f t="shared" si="6"/>
        <v>27704708.875</v>
      </c>
      <c r="I29" s="25">
        <f t="shared" si="6"/>
        <v>52406605.71061644</v>
      </c>
    </row>
    <row r="30" spans="1:11" ht="15.75" x14ac:dyDescent="0.2">
      <c r="A30" s="17"/>
      <c r="B30" s="26"/>
      <c r="C30" s="26"/>
      <c r="D30" s="25"/>
      <c r="E30" s="25"/>
      <c r="F30" s="25"/>
      <c r="G30" s="25"/>
      <c r="H30" s="25"/>
      <c r="I30" s="25"/>
    </row>
    <row r="31" spans="1:11" ht="15.75" x14ac:dyDescent="0.2">
      <c r="A31" s="17" t="s">
        <v>34</v>
      </c>
      <c r="B31" s="13">
        <f t="shared" ref="B31:I31" si="7">ABS(IF(ROUND(B24+B29,2)&gt;0,0,ROUND(B24+B29,2)))</f>
        <v>0</v>
      </c>
      <c r="C31" s="13">
        <f t="shared" si="7"/>
        <v>0</v>
      </c>
      <c r="D31" s="13">
        <f t="shared" si="7"/>
        <v>0</v>
      </c>
      <c r="E31" s="13">
        <f t="shared" si="7"/>
        <v>0</v>
      </c>
      <c r="F31" s="13">
        <f t="shared" si="7"/>
        <v>0</v>
      </c>
      <c r="G31" s="13">
        <f t="shared" si="7"/>
        <v>0</v>
      </c>
      <c r="H31" s="13">
        <f t="shared" si="7"/>
        <v>0</v>
      </c>
      <c r="I31" s="13">
        <f t="shared" si="7"/>
        <v>0</v>
      </c>
    </row>
    <row r="32" spans="1:11" ht="15.75" x14ac:dyDescent="0.2">
      <c r="A32" s="14"/>
      <c r="B32" s="27"/>
      <c r="C32" s="27"/>
      <c r="D32" s="28"/>
      <c r="E32" s="28"/>
      <c r="F32" s="28"/>
      <c r="G32" s="28"/>
      <c r="H32" s="28"/>
      <c r="I32" s="28"/>
    </row>
    <row r="33" spans="1:11" ht="15.75" x14ac:dyDescent="0.2">
      <c r="A33" s="18" t="s">
        <v>35</v>
      </c>
      <c r="B33" s="29">
        <f>IF(B29&gt;=B24,0,(ROUND(B24-B29+B31,0)))</f>
        <v>0</v>
      </c>
      <c r="C33" s="29">
        <f t="shared" ref="C33:I33" si="8">IF(C29&gt;=C24,0,(ROUND(C24-C29+C31,0)))</f>
        <v>14117363</v>
      </c>
      <c r="D33" s="29">
        <f t="shared" si="8"/>
        <v>16821773</v>
      </c>
      <c r="E33" s="29">
        <f t="shared" si="8"/>
        <v>16821773</v>
      </c>
      <c r="F33" s="29">
        <f t="shared" si="8"/>
        <v>2300311</v>
      </c>
      <c r="G33" s="29">
        <f t="shared" si="8"/>
        <v>292635</v>
      </c>
      <c r="H33" s="29">
        <f>IF(H29&gt;=H24,0,(ROUND(H24-H29+H31,0)))</f>
        <v>2603512</v>
      </c>
      <c r="I33" s="29">
        <f t="shared" si="8"/>
        <v>0</v>
      </c>
    </row>
    <row r="34" spans="1:11" x14ac:dyDescent="0.2">
      <c r="B34" s="34"/>
      <c r="C34" s="34"/>
      <c r="D34" s="34">
        <f t="shared" ref="D34:E34" si="9">D24-D29</f>
        <v>16821772.819999993</v>
      </c>
      <c r="E34" s="34">
        <f t="shared" si="9"/>
        <v>16821772.819999993</v>
      </c>
      <c r="F34" s="34"/>
      <c r="G34" s="34"/>
      <c r="H34" s="34"/>
      <c r="I34" s="34"/>
    </row>
    <row r="35" spans="1:11" ht="15.75" x14ac:dyDescent="0.25">
      <c r="A35" s="35" t="s">
        <v>36</v>
      </c>
      <c r="B35" s="35"/>
      <c r="C35" s="35"/>
      <c r="D35" s="36"/>
      <c r="E35" s="36"/>
      <c r="F35" s="36"/>
      <c r="G35" s="36"/>
      <c r="H35" s="36"/>
      <c r="I35" s="36"/>
      <c r="K35" s="37"/>
    </row>
    <row r="36" spans="1:11" ht="15" x14ac:dyDescent="0.25">
      <c r="A36" s="38" t="s">
        <v>37</v>
      </c>
      <c r="B36" s="39"/>
      <c r="C36" s="39"/>
      <c r="D36" s="39"/>
      <c r="E36" s="39"/>
      <c r="F36" s="39"/>
      <c r="G36" s="39"/>
      <c r="H36" s="39"/>
      <c r="I36" s="39"/>
      <c r="K36" s="37"/>
    </row>
    <row r="37" spans="1:11" ht="15" x14ac:dyDescent="0.2">
      <c r="A37" s="44" t="s">
        <v>38</v>
      </c>
      <c r="B37" s="44"/>
      <c r="C37" s="44"/>
      <c r="D37" s="44"/>
      <c r="E37" s="44"/>
      <c r="F37" s="44"/>
      <c r="G37" s="44"/>
      <c r="H37" s="44"/>
      <c r="I37" s="44"/>
      <c r="K37" s="40"/>
    </row>
    <row r="38" spans="1:11" ht="15" x14ac:dyDescent="0.2">
      <c r="A38" s="45" t="s">
        <v>47</v>
      </c>
      <c r="B38" s="45"/>
      <c r="C38" s="45"/>
      <c r="D38" s="45"/>
      <c r="E38" s="45"/>
      <c r="F38" s="45"/>
      <c r="G38" s="45"/>
      <c r="H38" s="45"/>
      <c r="I38" s="45"/>
      <c r="K38" s="40"/>
    </row>
    <row r="39" spans="1:11" ht="41.25" customHeight="1" x14ac:dyDescent="0.2">
      <c r="A39" s="45" t="s">
        <v>39</v>
      </c>
      <c r="B39" s="45"/>
      <c r="C39" s="45"/>
      <c r="D39" s="45"/>
      <c r="E39" s="45"/>
      <c r="F39" s="45"/>
      <c r="G39" s="45"/>
      <c r="H39" s="45"/>
      <c r="I39" s="45"/>
      <c r="K39" s="40"/>
    </row>
    <row r="40" spans="1:11" ht="41.25" customHeight="1" x14ac:dyDescent="0.25">
      <c r="A40" s="45" t="s">
        <v>45</v>
      </c>
      <c r="B40" s="45"/>
      <c r="C40" s="45"/>
      <c r="D40" s="45"/>
      <c r="E40" s="45"/>
      <c r="F40" s="45"/>
      <c r="G40" s="45"/>
      <c r="H40" s="45"/>
      <c r="I40" s="45"/>
      <c r="K40" s="41"/>
    </row>
    <row r="41" spans="1:11" ht="15" x14ac:dyDescent="0.25">
      <c r="A41" s="44" t="s">
        <v>40</v>
      </c>
      <c r="B41" s="44"/>
      <c r="C41" s="44"/>
      <c r="D41" s="44"/>
      <c r="E41" s="44"/>
      <c r="F41" s="44"/>
      <c r="G41" s="44"/>
      <c r="H41" s="44"/>
      <c r="I41" s="44"/>
      <c r="K41" s="41"/>
    </row>
    <row r="42" spans="1:11" ht="41.25" customHeight="1" x14ac:dyDescent="0.25">
      <c r="A42" s="45" t="s">
        <v>41</v>
      </c>
      <c r="B42" s="45"/>
      <c r="C42" s="45"/>
      <c r="D42" s="45"/>
      <c r="E42" s="45"/>
      <c r="F42" s="45"/>
      <c r="G42" s="45"/>
      <c r="H42" s="45"/>
      <c r="I42" s="45"/>
      <c r="K42" s="41"/>
    </row>
    <row r="43" spans="1:11" ht="15" x14ac:dyDescent="0.25">
      <c r="A43" s="44" t="s">
        <v>42</v>
      </c>
      <c r="B43" s="44"/>
      <c r="C43" s="44"/>
      <c r="D43" s="44"/>
      <c r="E43" s="44"/>
      <c r="F43" s="44"/>
      <c r="G43" s="44"/>
      <c r="H43" s="44"/>
      <c r="I43" s="44"/>
      <c r="K43" s="41"/>
    </row>
    <row r="44" spans="1:11" ht="50.25" customHeight="1" x14ac:dyDescent="0.25">
      <c r="A44" s="45" t="s">
        <v>43</v>
      </c>
      <c r="B44" s="45"/>
      <c r="C44" s="45"/>
      <c r="D44" s="45"/>
      <c r="E44" s="45"/>
      <c r="F44" s="45"/>
      <c r="G44" s="45"/>
      <c r="H44" s="45"/>
      <c r="I44" s="45"/>
      <c r="K44" s="41"/>
    </row>
    <row r="45" spans="1:11" ht="46.5" customHeight="1" x14ac:dyDescent="0.25">
      <c r="A45" s="45" t="s">
        <v>48</v>
      </c>
      <c r="B45" s="45"/>
      <c r="C45" s="45"/>
      <c r="D45" s="45"/>
      <c r="E45" s="45"/>
      <c r="F45" s="45"/>
      <c r="G45" s="45"/>
      <c r="H45" s="45"/>
      <c r="I45" s="45"/>
      <c r="K45" s="41"/>
    </row>
    <row r="46" spans="1:11" ht="15" x14ac:dyDescent="0.25">
      <c r="A46" s="42" t="s">
        <v>44</v>
      </c>
      <c r="B46" s="42"/>
      <c r="C46" s="42"/>
      <c r="D46" s="42"/>
      <c r="E46" s="42"/>
      <c r="F46" s="42"/>
      <c r="G46" s="42"/>
      <c r="H46" s="42"/>
      <c r="I46" s="42"/>
      <c r="K46" s="41"/>
    </row>
  </sheetData>
  <mergeCells count="13">
    <mergeCell ref="A46:I46"/>
    <mergeCell ref="A45:I45"/>
    <mergeCell ref="A44:I44"/>
    <mergeCell ref="A38:I38"/>
    <mergeCell ref="A39:I39"/>
    <mergeCell ref="A40:I40"/>
    <mergeCell ref="A41:I41"/>
    <mergeCell ref="A42:I42"/>
    <mergeCell ref="A43:I43"/>
    <mergeCell ref="A37:I37"/>
    <mergeCell ref="A1:I1"/>
    <mergeCell ref="A2:I2"/>
    <mergeCell ref="A36:I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1334D-4D57-4DD3-A576-A40DA9A5A747}">
  <ds:schemaRefs>
    <ds:schemaRef ds:uri="http://purl.org/dc/elements/1.1/"/>
    <ds:schemaRef ds:uri="cc811197-5a73-4d86-a206-c117da05ddaa"/>
    <ds:schemaRef ds:uri="http://schemas.microsoft.com/office/infopath/2007/PartnerControls"/>
    <ds:schemaRef ds:uri="http://purl.org/dc/dcmitype/"/>
    <ds:schemaRef ds:uri="http://schemas.microsoft.com/office/2006/documentManagement/types"/>
    <ds:schemaRef ds:uri="308dc21f-8940-46b7-9ee9-f86b439897b1"/>
    <ds:schemaRef ds:uri="http://www.w3.org/XML/1998/namespace"/>
    <ds:schemaRef ds:uri="6e990388-25d0-4212-86c6-d82dabd65f94"/>
    <ds:schemaRef ds:uri="http://schemas.microsoft.com/office/2006/metadata/properties"/>
    <ds:schemaRef ds:uri="http://purl.org/dc/terms/"/>
    <ds:schemaRef ds:uri="http://schemas.microsoft.com/sharepoint/v3"/>
    <ds:schemaRef ds:uri="http://schemas.openxmlformats.org/package/2006/metadata/core-properties"/>
  </ds:schemaRefs>
</ds:datastoreItem>
</file>

<file path=customXml/itemProps2.xml><?xml version="1.0" encoding="utf-8"?>
<ds:datastoreItem xmlns:ds="http://schemas.openxmlformats.org/officeDocument/2006/customXml" ds:itemID="{BF11FB17-E143-4F37-9A8E-24EDA750FBA0}">
  <ds:schemaRefs>
    <ds:schemaRef ds:uri="http://schemas.microsoft.com/office/2006/metadata/customXsn"/>
  </ds:schemaRefs>
</ds:datastoreItem>
</file>

<file path=customXml/itemProps3.xml><?xml version="1.0" encoding="utf-8"?>
<ds:datastoreItem xmlns:ds="http://schemas.openxmlformats.org/officeDocument/2006/customXml" ds:itemID="{5E1B16AA-DB01-4E9B-82BF-2A3DD7FF6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2CA9A9-D0DD-44A0-9E3D-D406C8D4A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Operations Financial Plan</dc:title>
  <dc:subject/>
  <dc:creator>Brandt, Sarah</dc:creator>
  <cp:keywords/>
  <dc:description/>
  <cp:lastModifiedBy>Peterson Horner, Elka</cp:lastModifiedBy>
  <cp:revision/>
  <dcterms:created xsi:type="dcterms:W3CDTF">2025-02-08T20:51:24Z</dcterms:created>
  <dcterms:modified xsi:type="dcterms:W3CDTF">2025-02-10T21:34:41Z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0x010100D03C1FEDB24A304B88B22491CFC0976900C56290958081FF4C89D177D5054A45C6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