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60868" yWindow="1344" windowWidth="23268" windowHeight="7476" tabRatio="782" firstSheet="1" activeTab="1"/>
  </bookViews>
  <sheets>
    <sheet name="2b.  Complex Form Data Entry" sheetId="9" state="hidden" r:id="rId1"/>
    <sheet name="3b.  Complex Form Fiscal Note" sheetId="10" r:id="rId2"/>
    <sheet name="Sheet1" sheetId="13" state="hidden" r:id="rId3"/>
  </sheets>
  <definedNames>
    <definedName name="_xlnm.Print_Area" localSheetId="1">'3b.  Complex Form Fiscal Note'!$A$1:$S$148</definedName>
  </definedNames>
  <calcPr calcId="145621"/>
</workbook>
</file>

<file path=xl/sharedStrings.xml><?xml version="1.0" encoding="utf-8"?>
<sst xmlns="http://schemas.openxmlformats.org/spreadsheetml/2006/main" count="441" uniqueCount="208">
  <si>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</si>
  <si>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</si>
  <si>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</si>
  <si>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</si>
  <si>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</si>
  <si>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</si>
  <si>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</si>
  <si>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</si>
  <si>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</si>
  <si>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</si>
  <si>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</si>
  <si>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</si>
  <si>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</si>
  <si>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</si>
  <si>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</si>
  <si>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</si>
  <si>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</si>
  <si>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</si>
  <si>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</si>
  <si>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</si>
  <si>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</si>
  <si>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</si>
  <si>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</si>
  <si>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</si>
  <si>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</si>
  <si>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</si>
  <si>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</si>
  <si>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</si>
  <si>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</si>
  <si>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</si>
  <si>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</si>
  <si>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</si>
  <si>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</si>
  <si>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</si>
  <si>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</si>
  <si>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</si>
  <si>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</si>
  <si>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</si>
  <si>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</si>
  <si>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</si>
  <si>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</si>
  <si>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</si>
  <si>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</si>
  <si>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</si>
  <si>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</si>
  <si>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</si>
  <si>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</si>
  <si>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</si>
  <si>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</si>
  <si>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</si>
  <si>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</si>
  <si>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</si>
  <si>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</si>
  <si>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</si>
  <si>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</si>
  <si>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</si>
  <si>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</si>
  <si>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</si>
  <si>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</si>
  <si>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</si>
  <si>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</si>
  <si>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</si>
  <si>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</si>
  <si>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</si>
  <si>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</si>
  <si>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</si>
  <si>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</si>
  <si>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</si>
  <si>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</si>
  <si>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</si>
  <si>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</si>
  <si>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</si>
  <si>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</si>
  <si>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</si>
  <si>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</si>
  <si>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</si>
  <si>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</si>
  <si>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</si>
  <si>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</si>
  <si>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</si>
  <si>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</si>
  <si>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</si>
  <si>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</si>
  <si>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</si>
  <si>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</si>
  <si>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</si>
  <si>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</si>
  <si>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</si>
  <si>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</si>
  <si>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</si>
  <si>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</si>
  <si>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</si>
  <si>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</si>
  <si>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</si>
  <si>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</si>
  <si>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</si>
  <si>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</si>
  <si>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</si>
  <si>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</si>
  <si>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</si>
  <si>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</si>
  <si>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</si>
  <si>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</si>
  <si>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</si>
  <si>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</si>
  <si>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</si>
  <si>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</si>
  <si>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</si>
  <si>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</si>
  <si>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</si>
  <si>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</si>
  <si>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</si>
  <si>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</si>
  <si>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</si>
  <si>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</si>
  <si>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</si>
  <si>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</si>
  <si>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</si>
  <si>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</si>
  <si>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</si>
  <si>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</si>
  <si>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</si>
  <si>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</si>
  <si>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</si>
  <si>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</si>
  <si>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</si>
  <si>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</si>
  <si>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</si>
  <si>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</si>
  <si>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theme="1"/>
        <rFont val="Univers"/>
        <family val="2"/>
      </rPr>
      <t>- Property Leases and Sales (continued)</t>
    </r>
  </si>
  <si>
    <t>First year of current biennium (in XXXX format, should be odd number).</t>
  </si>
  <si>
    <t>Enter additional notes as necessary directly in fiscal note form</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</si>
  <si>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</si>
  <si>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</si>
  <si>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</si>
  <si>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</si>
  <si>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</si>
  <si>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vertAlign val="superscript"/>
        <sz val="10.5"/>
        <rFont val="Univers"/>
        <family val="2"/>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</si>
  <si>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</si>
  <si>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</si>
  <si>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</si>
  <si>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</si>
  <si>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</si>
  <si>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Standalone</t>
  </si>
  <si>
    <t>Gregory Svidenko</t>
  </si>
  <si>
    <t>Facilities Management Division/RES</t>
  </si>
  <si>
    <t>DOT</t>
  </si>
  <si>
    <t>LAYOVER STUDY</t>
  </si>
  <si>
    <t>GF</t>
  </si>
  <si>
    <t xml:space="preserve">Project planning and negotiation </t>
  </si>
  <si>
    <t>The transaction involves the sale of a property. No long-term expenditures requiring resource backing are associated with this transaction.</t>
  </si>
  <si>
    <t>see note 5</t>
  </si>
  <si>
    <t>Metro Transit Operating Fund</t>
  </si>
  <si>
    <t>Metro Transit Capital Fund</t>
  </si>
  <si>
    <t>0010</t>
  </si>
  <si>
    <t>A44000</t>
  </si>
  <si>
    <t>DES</t>
  </si>
  <si>
    <t>Proceeds of sale - see note 5</t>
  </si>
  <si>
    <t>General Fund sales tax revenue related to new construction associated with the property transaction</t>
  </si>
  <si>
    <t>Metro Transit sales tax revenue related to new construction associated with the property transaction</t>
  </si>
  <si>
    <t>Shelley De Wys</t>
  </si>
  <si>
    <t>Installment sale</t>
  </si>
  <si>
    <t>MIDD sales tax revenue related to new construction associated with the property transaction</t>
  </si>
  <si>
    <t>A46410</t>
  </si>
  <si>
    <t>C36410</t>
  </si>
  <si>
    <t>A99000</t>
  </si>
  <si>
    <t>A15000</t>
  </si>
  <si>
    <t>Finance General Fund</t>
  </si>
  <si>
    <t>DCHS</t>
  </si>
  <si>
    <t>Various</t>
  </si>
  <si>
    <t>Hotel/Motel Tax</t>
  </si>
  <si>
    <t>1128646</t>
  </si>
  <si>
    <t>1128656</t>
  </si>
  <si>
    <t>1028624</t>
  </si>
  <si>
    <t>Relocation of traction power substation</t>
  </si>
  <si>
    <t>An NPV analysis was not performed because of the large degree of uncertainty associated with the potential revenues and costs for alternatives.</t>
  </si>
  <si>
    <t>Closing costs</t>
  </si>
  <si>
    <t xml:space="preserve"> Overhead and other ongoing costs that will not be reimbursed by Sound Transit (see note 5)</t>
  </si>
  <si>
    <t>- Hotel/motel tax revenue is expected to increase as a result of this transaction; however, the increase cannot be quantified at this time.</t>
  </si>
  <si>
    <t>- The total estimated cost of relocating equipment in DSTT is provided above; however, the allocation of this cost to Sound Transit and Metro is still under negotiation.  While Metro anticipates a cost sharing reimbursement for some portion of this project from Sound Transit, Metro is requesting appropriation authority of the total project cost in order to contract for the work to be done.</t>
  </si>
  <si>
    <t xml:space="preserve">- Currently, Metro allocates a portion of the agency overhead and other costs (security, service quality) to DSTT operations, which are then reimbursed by Sound Transit.  When Metro removes buses from the tunnel, some of these costs go away, but other costs accrue entirely to Metro.  The net impact is an increase in Metro operating costs. </t>
  </si>
  <si>
    <t>Relocation of Sound Transit and Metro equipment from Downtown Seattle Transit Tunnel (DSTT)</t>
  </si>
  <si>
    <t>Mental Illness and Drug Dependency Fund</t>
  </si>
  <si>
    <t>Metro's contribution to construction of ramp to maintain bus access to DSTT (80% per PSA)</t>
  </si>
  <si>
    <t>Estimated increase in operating costs associated with the relocation of bus layover and the early exit of buses from the DSTT (see note 5)</t>
  </si>
  <si>
    <t>Reduction/elimination of debt service payments associated with the exit of buses from the DSTT (see note 5)</t>
  </si>
  <si>
    <t>Sale of the Convention Place Station Property to the Washington State Convention Center</t>
  </si>
  <si>
    <t>Sale of Metro Transit Convention Place Station Property to the Washington State Convention Center</t>
  </si>
  <si>
    <t>King County Metro Transit (Metro), General Fund, Facilities Management Division, Mental Illness and Drug Dependency Fund, and Housing, Tourism-Related, and Cultural Development Activity Expenditures</t>
  </si>
  <si>
    <t>Housing, Tourism-Related, and Cultural Development Activities</t>
  </si>
  <si>
    <r>
      <t>Net Present Value to Primary Impacted Agency (customer of transaction):</t>
    </r>
    <r>
      <rPr>
        <b/>
        <vertAlign val="superscript"/>
        <sz val="10.5"/>
        <rFont val="Univers"/>
        <family val="2"/>
      </rPr>
      <t xml:space="preserve"> ***</t>
    </r>
  </si>
  <si>
    <t>(see note 5)</t>
  </si>
  <si>
    <t>Department of Community and Health Services Operating</t>
  </si>
  <si>
    <t>TBD</t>
  </si>
  <si>
    <t xml:space="preserve">6.     Per the terms of the PSA, WSCC will either construct affordable housing or contribute $5 million to DCHS to provide affordable housing.  This fiscal note includes a placeholder as resolution of the question is not known at this time.   </t>
  </si>
  <si>
    <t xml:space="preserve"> Per the terms of the PSA, WSCC will either construct affordable housing or contribute $5 million to DCHS to provide affordable housing.  This fiscal note includes a placeholder as resolution of the question is not known at this time.   </t>
  </si>
  <si>
    <t xml:space="preserve">- For reduced debt service payments, it is assumed that this transaction results in Metro buses exiting the DSTT in September 2018 and debt retirement occurs at the end of 2019.  It also assumes that all debt and other operations and maintenance costs for the DSTT accrue to Sound Transit after buses exit the DSTT. </t>
  </si>
  <si>
    <t>Payment for affordable housing in lieu of constructing - see note 6</t>
  </si>
  <si>
    <t>1/23/17</t>
  </si>
  <si>
    <t>Planning and construction costs for the access ramp.</t>
  </si>
  <si>
    <r>
      <t xml:space="preserve">- </t>
    </r>
    <r>
      <rPr>
        <b/>
        <sz val="11"/>
        <rFont val="Arial"/>
        <family val="2"/>
      </rPr>
      <t>The transaction is structured as an installment sale involving an initial payment to Metro of $20 million in 2017</t>
    </r>
    <r>
      <rPr>
        <sz val="11"/>
        <rFont val="Arial"/>
        <family val="2"/>
      </rPr>
      <t>, interest-only payments of 1% annually from closing (estimated as 7/1/2017) through 2023, and growing annual payments starting in 2024 (4.25% interest and 3% escalation), with payments starting at about $6.8 million and growing to about $13.8 million.  Of the anticipated property sale revenues, approximately $6 million must be set aside for future use on a Federal Transit Authority approved project.  This amount is shown in the capital designated revenue reserve in the financial plan.</t>
    </r>
  </si>
  <si>
    <t>Project planning costs through the end of 2017/2018.</t>
  </si>
  <si>
    <t>Relocation of traction power substation.</t>
  </si>
  <si>
    <t>Relocation of Sound Transit and Metro Transit equipment from DSTT.</t>
  </si>
  <si>
    <r>
      <t xml:space="preserve">Total 6-Year CIP Outyear Planning Level Costs </t>
    </r>
    <r>
      <rPr>
        <vertAlign val="superscript"/>
        <sz val="10.5"/>
        <rFont val="Univers"/>
        <family val="2"/>
      </rPr>
      <t>7</t>
    </r>
  </si>
  <si>
    <t>7.</t>
  </si>
  <si>
    <t>Total 6-year capital costs exceed the appropriaiton request because some appropriation for this work was obtained in the 2017-2018 biennial budget.</t>
  </si>
  <si>
    <t>3/1/17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</si>
</sst>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3">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4"/>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s>
  <fills count="9">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66">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style="medium"/>
      <right/>
      <top style="medium"/>
      <bottom/>
    </border>
    <border>
      <left/>
      <right style="medium"/>
      <top style="medium"/>
      <bottom/>
    </border>
    <border>
      <left/>
      <right/>
      <top style="double"/>
      <bottom style="double"/>
    </border>
    <border>
      <left/>
      <right/>
      <top style="medium"/>
      <bottom/>
    </border>
    <border>
      <left/>
      <right style="medium"/>
      <top/>
      <bottom style="medium"/>
    </border>
    <border>
      <left style="thin"/>
      <right style="medium"/>
      <top style="medium"/>
      <botto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3">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6" fillId="0" borderId="7" xfId="0" applyFont="1" applyBorder="1"/>
    <xf numFmtId="0" fontId="1" fillId="0" borderId="5" xfId="0" applyFont="1" applyBorder="1" applyAlignment="1">
      <alignment horizontal="center" wrapText="1"/>
    </xf>
    <xf numFmtId="0" fontId="16" fillId="0" borderId="4" xfId="0" applyFont="1" applyBorder="1"/>
    <xf numFmtId="0" fontId="16"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6" fillId="0" borderId="12" xfId="0" applyFont="1" applyBorder="1"/>
    <xf numFmtId="0" fontId="16"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6" fillId="0" borderId="3" xfId="0" applyFont="1" applyBorder="1"/>
    <xf numFmtId="0" fontId="1" fillId="2" borderId="21" xfId="0" applyFont="1" applyFill="1" applyBorder="1" applyAlignment="1">
      <alignment horizontal="center"/>
    </xf>
    <xf numFmtId="0" fontId="16"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19" fillId="0" borderId="23" xfId="0" applyFont="1" applyBorder="1"/>
    <xf numFmtId="0" fontId="21" fillId="0" borderId="0" xfId="0" applyFont="1"/>
    <xf numFmtId="0" fontId="0" fillId="0" borderId="0" xfId="0" applyFont="1" applyAlignment="1" quotePrefix="1">
      <alignment horizontal="center"/>
    </xf>
    <xf numFmtId="0" fontId="27" fillId="0" borderId="24" xfId="0" applyFont="1" applyFill="1" applyBorder="1" applyAlignment="1">
      <alignment horizontal="left"/>
    </xf>
    <xf numFmtId="0" fontId="26" fillId="0" borderId="0" xfId="0" applyFont="1" applyFill="1" applyBorder="1"/>
    <xf numFmtId="166" fontId="2" fillId="0" borderId="3" xfId="16" applyNumberFormat="1" applyFont="1" applyBorder="1"/>
    <xf numFmtId="0" fontId="16" fillId="0" borderId="16" xfId="0" applyFont="1" applyBorder="1"/>
    <xf numFmtId="0" fontId="16"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0"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19" fillId="0" borderId="24" xfId="0" applyFont="1" applyFill="1" applyBorder="1" applyAlignment="1">
      <alignment/>
    </xf>
    <xf numFmtId="0" fontId="19" fillId="0" borderId="0" xfId="0" applyFont="1" applyFill="1" applyBorder="1" applyAlignment="1">
      <alignment horizontal="right"/>
    </xf>
    <xf numFmtId="166" fontId="19" fillId="0" borderId="0" xfId="16" applyNumberFormat="1" applyFont="1" applyFill="1" applyBorder="1" applyAlignment="1">
      <alignment horizontal="right"/>
    </xf>
    <xf numFmtId="0" fontId="22"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19"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15" fillId="0" borderId="0" xfId="0" applyFont="1" applyProtection="1">
      <protection locked="0"/>
    </xf>
    <xf numFmtId="0" fontId="0" fillId="0" borderId="0" xfId="0" applyAlignment="1" applyProtection="1">
      <alignment vertical="top"/>
      <protection locked="0"/>
    </xf>
    <xf numFmtId="0" fontId="15" fillId="0" borderId="0" xfId="0" applyFont="1" applyAlignment="1" applyProtection="1">
      <alignment vertical="top"/>
      <protection locked="0"/>
    </xf>
    <xf numFmtId="0" fontId="29" fillId="0" borderId="0" xfId="0" applyFont="1" applyProtection="1">
      <protection locked="0"/>
    </xf>
    <xf numFmtId="0" fontId="29" fillId="0" borderId="31" xfId="0" applyFont="1" applyBorder="1" applyAlignment="1" applyProtection="1">
      <alignment vertical="top"/>
      <protection/>
    </xf>
    <xf numFmtId="0" fontId="30"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3" fillId="0" borderId="0" xfId="0" applyFont="1" applyBorder="1" applyAlignment="1" applyProtection="1">
      <alignment vertical="top"/>
      <protection locked="0"/>
    </xf>
    <xf numFmtId="0" fontId="33" fillId="0" borderId="0" xfId="0" applyFont="1" applyBorder="1" applyProtection="1">
      <protection locked="0"/>
    </xf>
    <xf numFmtId="0" fontId="29" fillId="0" borderId="0" xfId="0" applyFont="1" applyBorder="1" applyAlignment="1" applyProtection="1">
      <alignment vertical="top"/>
      <protection locked="0"/>
    </xf>
    <xf numFmtId="0" fontId="38" fillId="0" borderId="0" xfId="0" applyFont="1" applyBorder="1" applyAlignment="1" applyProtection="1">
      <alignment vertical="top"/>
      <protection locked="0"/>
    </xf>
    <xf numFmtId="0" fontId="29" fillId="0" borderId="0" xfId="0" applyFont="1" applyBorder="1" applyProtection="1">
      <protection locked="0"/>
    </xf>
    <xf numFmtId="0" fontId="39"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5"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4" fillId="0" borderId="0" xfId="0" applyFont="1" applyBorder="1" applyAlignment="1" applyProtection="1">
      <alignment vertical="top" wrapText="1"/>
      <protection locked="0"/>
    </xf>
    <xf numFmtId="0" fontId="15" fillId="0" borderId="0" xfId="0" applyFont="1" applyBorder="1" applyAlignment="1" applyProtection="1">
      <alignment vertical="top"/>
      <protection locked="0"/>
    </xf>
    <xf numFmtId="0" fontId="18" fillId="0" borderId="0" xfId="0" applyFont="1" applyBorder="1" applyAlignment="1" applyProtection="1" quotePrefix="1">
      <alignment wrapText="1"/>
      <protection locked="0"/>
    </xf>
    <xf numFmtId="0" fontId="18" fillId="0" borderId="0" xfId="0" applyFont="1" applyBorder="1" applyAlignment="1" applyProtection="1">
      <alignment wrapText="1"/>
      <protection locked="0"/>
    </xf>
    <xf numFmtId="0" fontId="35" fillId="0" borderId="0" xfId="0" applyFont="1" applyBorder="1" applyProtection="1">
      <protection locked="0"/>
    </xf>
    <xf numFmtId="0" fontId="38" fillId="0" borderId="0" xfId="0" applyFont="1" applyBorder="1" applyProtection="1">
      <protection locked="0"/>
    </xf>
    <xf numFmtId="0" fontId="29" fillId="0" borderId="33" xfId="0" applyFont="1" applyBorder="1" applyAlignment="1" applyProtection="1">
      <alignment vertical="top"/>
      <protection locked="0"/>
    </xf>
    <xf numFmtId="0" fontId="29"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2" fillId="3" borderId="27" xfId="0" applyFont="1" applyFill="1" applyBorder="1" applyAlignment="1" applyProtection="1">
      <alignment horizontal="left" vertical="top"/>
      <protection locked="0"/>
    </xf>
    <xf numFmtId="0" fontId="32" fillId="3" borderId="28" xfId="0" applyFont="1" applyFill="1" applyBorder="1" applyAlignment="1" applyProtection="1">
      <alignment horizontal="left" vertical="top"/>
      <protection locked="0"/>
    </xf>
    <xf numFmtId="0" fontId="32" fillId="3" borderId="30" xfId="0" applyFont="1" applyFill="1" applyBorder="1" applyAlignment="1" applyProtection="1">
      <alignment horizontal="left" vertical="top"/>
      <protection locked="0"/>
    </xf>
    <xf numFmtId="0" fontId="32" fillId="3" borderId="31" xfId="0" applyFont="1" applyFill="1" applyBorder="1" applyAlignment="1" applyProtection="1">
      <alignment horizontal="left" vertical="top"/>
      <protection locked="0"/>
    </xf>
    <xf numFmtId="0" fontId="32" fillId="3" borderId="27" xfId="0" applyFont="1" applyFill="1" applyBorder="1" applyAlignment="1" applyProtection="1">
      <alignment vertical="top"/>
      <protection locked="0"/>
    </xf>
    <xf numFmtId="0" fontId="32" fillId="3" borderId="28" xfId="0" applyFont="1" applyFill="1" applyBorder="1" applyAlignment="1" applyProtection="1">
      <alignment vertical="top"/>
      <protection locked="0"/>
    </xf>
    <xf numFmtId="0" fontId="30" fillId="3" borderId="30" xfId="0" applyFont="1" applyFill="1" applyBorder="1" applyAlignment="1" applyProtection="1">
      <alignment vertical="top"/>
      <protection locked="0"/>
    </xf>
    <xf numFmtId="0" fontId="30" fillId="3" borderId="31" xfId="0" applyFont="1" applyFill="1" applyBorder="1" applyAlignment="1" applyProtection="1">
      <alignment horizontal="left" vertical="top"/>
      <protection locked="0"/>
    </xf>
    <xf numFmtId="165" fontId="30" fillId="3" borderId="31" xfId="18" applyNumberFormat="1" applyFont="1" applyFill="1" applyBorder="1" applyAlignment="1" applyProtection="1">
      <alignment horizontal="center"/>
      <protection locked="0"/>
    </xf>
    <xf numFmtId="49" fontId="32" fillId="3" borderId="31" xfId="0" applyNumberFormat="1" applyFont="1" applyFill="1" applyBorder="1" applyAlignment="1" applyProtection="1">
      <alignment horizontal="right" vertical="top"/>
      <protection locked="0"/>
    </xf>
    <xf numFmtId="0" fontId="30" fillId="3" borderId="28" xfId="0" applyFont="1" applyFill="1" applyBorder="1" applyAlignment="1" applyProtection="1">
      <alignment horizontal="left"/>
      <protection locked="0"/>
    </xf>
    <xf numFmtId="0" fontId="30" fillId="3" borderId="35" xfId="0" applyFont="1" applyFill="1" applyBorder="1" applyAlignment="1" applyProtection="1">
      <alignment horizontal="left"/>
      <protection locked="0"/>
    </xf>
    <xf numFmtId="166" fontId="30" fillId="3" borderId="29" xfId="16" applyNumberFormat="1" applyFont="1" applyFill="1" applyBorder="1" applyAlignment="1" applyProtection="1">
      <alignment horizontal="center"/>
      <protection locked="0"/>
    </xf>
    <xf numFmtId="166" fontId="30" fillId="3" borderId="36" xfId="16" applyNumberFormat="1" applyFont="1" applyFill="1" applyBorder="1" applyAlignment="1" applyProtection="1">
      <alignment horizontal="center"/>
      <protection locked="0"/>
    </xf>
    <xf numFmtId="49" fontId="29" fillId="3" borderId="27" xfId="0" applyNumberFormat="1" applyFont="1" applyFill="1" applyBorder="1" applyProtection="1">
      <protection locked="0"/>
    </xf>
    <xf numFmtId="0" fontId="29" fillId="3" borderId="30" xfId="0" applyFont="1" applyFill="1" applyBorder="1" applyProtection="1">
      <protection locked="0"/>
    </xf>
    <xf numFmtId="166" fontId="30" fillId="3" borderId="35" xfId="16" applyNumberFormat="1" applyFont="1" applyFill="1" applyBorder="1" applyAlignment="1" applyProtection="1">
      <alignment horizontal="center"/>
      <protection locked="0"/>
    </xf>
    <xf numFmtId="0" fontId="29" fillId="4" borderId="31" xfId="0" applyFont="1" applyFill="1" applyBorder="1" applyAlignment="1" applyProtection="1">
      <alignment horizontal="left" vertical="center"/>
      <protection locked="0"/>
    </xf>
    <xf numFmtId="49" fontId="29" fillId="4" borderId="31" xfId="0" applyNumberFormat="1" applyFont="1" applyFill="1" applyBorder="1" applyAlignment="1" applyProtection="1">
      <alignment horizontal="left" vertical="center"/>
      <protection locked="0"/>
    </xf>
    <xf numFmtId="1" fontId="29" fillId="4" borderId="37" xfId="0" applyNumberFormat="1" applyFont="1" applyFill="1" applyBorder="1" applyAlignment="1" applyProtection="1">
      <alignment horizontal="left" vertical="center"/>
      <protection locked="0"/>
    </xf>
    <xf numFmtId="1" fontId="29" fillId="4" borderId="31" xfId="0" applyNumberFormat="1" applyFont="1" applyFill="1" applyBorder="1" applyAlignment="1" applyProtection="1">
      <alignment horizontal="left" vertical="center"/>
      <protection locked="0"/>
    </xf>
    <xf numFmtId="0" fontId="29" fillId="4" borderId="31" xfId="0" applyFont="1" applyFill="1" applyBorder="1" applyAlignment="1" applyProtection="1">
      <alignment horizontal="left"/>
      <protection locked="0"/>
    </xf>
    <xf numFmtId="0" fontId="29" fillId="4" borderId="31" xfId="0" applyFont="1" applyFill="1" applyBorder="1" applyAlignment="1" applyProtection="1">
      <alignment vertical="top"/>
      <protection locked="0"/>
    </xf>
    <xf numFmtId="0" fontId="29" fillId="3" borderId="31" xfId="0" applyFont="1" applyFill="1" applyBorder="1" applyAlignment="1" applyProtection="1">
      <alignment vertical="top"/>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19"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28" fillId="0" borderId="0" xfId="0" applyFont="1" applyAlignment="1" applyProtection="1">
      <alignment horizontal="center"/>
      <protection locked="0"/>
    </xf>
    <xf numFmtId="0" fontId="37" fillId="0" borderId="0" xfId="0" applyFont="1" applyBorder="1" applyAlignment="1" applyProtection="1" quotePrefix="1">
      <alignment vertical="center" wrapText="1"/>
      <protection locked="0"/>
    </xf>
    <xf numFmtId="0" fontId="37" fillId="0" borderId="0" xfId="0" applyFont="1" applyBorder="1" applyAlignment="1" applyProtection="1">
      <alignment horizontal="left" vertical="center" wrapText="1"/>
      <protection locked="0"/>
    </xf>
    <xf numFmtId="0" fontId="37" fillId="0" borderId="0" xfId="0" applyFont="1" applyBorder="1" applyAlignment="1" applyProtection="1">
      <alignment vertical="center" wrapText="1"/>
      <protection locked="0"/>
    </xf>
    <xf numFmtId="0" fontId="39" fillId="0" borderId="0" xfId="0" applyFont="1" applyBorder="1" applyAlignment="1" applyProtection="1">
      <alignment horizontal="left" vertical="top" wrapText="1"/>
      <protection locked="0"/>
    </xf>
    <xf numFmtId="0" fontId="39" fillId="0" borderId="0" xfId="0" applyFont="1" applyBorder="1" applyAlignment="1" applyProtection="1">
      <alignment vertical="top" wrapText="1"/>
      <protection locked="0"/>
    </xf>
    <xf numFmtId="0" fontId="17" fillId="0" borderId="0" xfId="0" applyFont="1" applyBorder="1" applyAlignment="1" quotePrefix="1">
      <alignment horizontal="left" vertical="center" wrapText="1"/>
    </xf>
    <xf numFmtId="0" fontId="17" fillId="0" borderId="0" xfId="0" applyFont="1" applyBorder="1" applyAlignment="1">
      <alignment horizontal="left" vertical="center" wrapText="1"/>
    </xf>
    <xf numFmtId="49" fontId="30" fillId="3" borderId="31" xfId="18" applyNumberFormat="1" applyFont="1" applyFill="1" applyBorder="1" applyAlignment="1" applyProtection="1" quotePrefix="1">
      <alignment horizontal="center"/>
      <protection locked="0"/>
    </xf>
    <xf numFmtId="49" fontId="32" fillId="3" borderId="31" xfId="0" applyNumberFormat="1" applyFont="1" applyFill="1" applyBorder="1" applyAlignment="1" applyProtection="1" quotePrefix="1">
      <alignment horizontal="left" vertical="top"/>
      <protection locked="0"/>
    </xf>
    <xf numFmtId="0" fontId="32" fillId="3" borderId="31" xfId="0" applyFont="1" applyFill="1" applyBorder="1" applyAlignment="1" applyProtection="1" quotePrefix="1">
      <alignment horizontal="left" vertical="top"/>
      <protection locked="0"/>
    </xf>
    <xf numFmtId="0" fontId="38" fillId="0" borderId="0" xfId="0" applyFont="1" applyBorder="1" applyAlignment="1" applyProtection="1" quotePrefix="1">
      <alignment vertical="top" wrapText="1"/>
      <protection locked="0"/>
    </xf>
    <xf numFmtId="0" fontId="19" fillId="0" borderId="38" xfId="0" applyFont="1" applyBorder="1" applyAlignment="1">
      <alignment horizontal="center" wrapText="1"/>
    </xf>
    <xf numFmtId="0" fontId="19" fillId="0" borderId="39" xfId="0" applyFont="1" applyBorder="1" applyAlignment="1">
      <alignment horizontal="center" wrapText="1"/>
    </xf>
    <xf numFmtId="166" fontId="30" fillId="3" borderId="40" xfId="16" applyNumberFormat="1" applyFont="1" applyFill="1" applyBorder="1" applyAlignment="1" applyProtection="1">
      <alignment horizontal="center"/>
      <protection locked="0"/>
    </xf>
    <xf numFmtId="0" fontId="29" fillId="4" borderId="41" xfId="0" applyFont="1" applyFill="1" applyBorder="1" applyAlignment="1" applyProtection="1">
      <alignment vertical="top"/>
      <protection locked="0"/>
    </xf>
    <xf numFmtId="0" fontId="29"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19"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6"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18" fillId="0" borderId="46" xfId="0" applyFont="1" applyFill="1" applyBorder="1" applyAlignment="1" applyProtection="1">
      <alignment horizontal="left"/>
      <protection locked="0"/>
    </xf>
    <xf numFmtId="0" fontId="18" fillId="0" borderId="46" xfId="0" applyFont="1" applyFill="1" applyBorder="1" applyProtection="1">
      <protection locked="0"/>
    </xf>
    <xf numFmtId="0" fontId="18" fillId="0" borderId="46" xfId="0" applyFont="1" applyFill="1" applyBorder="1" applyAlignment="1" applyProtection="1">
      <alignment/>
      <protection locked="0"/>
    </xf>
    <xf numFmtId="49" fontId="0" fillId="0" borderId="0" xfId="0" applyNumberFormat="1" applyProtection="1">
      <protection locked="0"/>
    </xf>
    <xf numFmtId="165" fontId="30"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18" fillId="0" borderId="46" xfId="0" applyFont="1" applyBorder="1" applyAlignment="1" applyProtection="1" quotePrefix="1">
      <alignment wrapText="1"/>
      <protection locked="0"/>
    </xf>
    <xf numFmtId="0" fontId="18" fillId="0" borderId="0" xfId="0" applyFont="1" applyAlignment="1" applyProtection="1" quotePrefix="1">
      <alignment wrapText="1"/>
      <protection locked="0"/>
    </xf>
    <xf numFmtId="0" fontId="17" fillId="0" borderId="0" xfId="0" applyFont="1" applyBorder="1" applyAlignment="1" applyProtection="1">
      <alignment horizontal="left" vertical="center" wrapText="1"/>
      <protection locked="0"/>
    </xf>
    <xf numFmtId="0" fontId="17" fillId="0" borderId="46"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25" fillId="0" borderId="46" xfId="0" applyFont="1" applyBorder="1" applyAlignment="1" applyProtection="1" quotePrefix="1">
      <alignment vertical="center" wrapText="1"/>
      <protection locked="0"/>
    </xf>
    <xf numFmtId="0" fontId="25"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29" fillId="0" borderId="0" xfId="0" applyFont="1" applyProtection="1" quotePrefix="1">
      <protection/>
    </xf>
    <xf numFmtId="0" fontId="15"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0" fillId="0" borderId="0" xfId="0" applyFont="1" applyBorder="1" applyAlignment="1" applyProtection="1">
      <alignment horizontal="left" vertical="top"/>
      <protection/>
    </xf>
    <xf numFmtId="0" fontId="30" fillId="0" borderId="0" xfId="0" applyFont="1" applyBorder="1" applyAlignment="1" applyProtection="1">
      <alignment vertical="top" wrapText="1"/>
      <protection/>
    </xf>
    <xf numFmtId="0" fontId="30" fillId="0" borderId="0" xfId="0" applyFont="1" applyBorder="1" applyAlignment="1" applyProtection="1">
      <alignment vertical="top"/>
      <protection/>
    </xf>
    <xf numFmtId="0" fontId="37" fillId="0" borderId="24" xfId="0" applyFont="1" applyFill="1" applyBorder="1" applyAlignment="1" applyProtection="1">
      <alignment vertical="top" wrapText="1"/>
      <protection/>
    </xf>
    <xf numFmtId="0" fontId="30" fillId="0" borderId="0" xfId="0" applyFont="1" applyFill="1" applyBorder="1" applyAlignment="1" applyProtection="1">
      <alignment vertical="top"/>
      <protection/>
    </xf>
    <xf numFmtId="0" fontId="30" fillId="0" borderId="0" xfId="0" applyFont="1" applyFill="1" applyBorder="1" applyAlignment="1" applyProtection="1">
      <alignment horizontal="left" vertical="top"/>
      <protection/>
    </xf>
    <xf numFmtId="0" fontId="29" fillId="0" borderId="0" xfId="0" applyFont="1" applyBorder="1" applyAlignment="1" applyProtection="1">
      <alignment vertical="top"/>
      <protection/>
    </xf>
    <xf numFmtId="0" fontId="38" fillId="0" borderId="0" xfId="0" applyFont="1" applyBorder="1" applyAlignment="1" applyProtection="1">
      <alignment vertical="top"/>
      <protection/>
    </xf>
    <xf numFmtId="0" fontId="39" fillId="0" borderId="0" xfId="0" applyFont="1" applyBorder="1" applyAlignment="1" applyProtection="1">
      <alignment vertical="top"/>
      <protection/>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center"/>
      <protection/>
    </xf>
    <xf numFmtId="0" fontId="0" fillId="0" borderId="33" xfId="0" applyBorder="1" applyProtection="1">
      <protection/>
    </xf>
    <xf numFmtId="0" fontId="30" fillId="0" borderId="0" xfId="0" applyFont="1" applyBorder="1" applyAlignment="1" applyProtection="1">
      <alignment horizontal="left" vertical="center" wrapText="1"/>
      <protection/>
    </xf>
    <xf numFmtId="0" fontId="15" fillId="0" borderId="32" xfId="0" applyFont="1" applyBorder="1" applyAlignment="1" applyProtection="1">
      <alignment vertical="top"/>
      <protection/>
    </xf>
    <xf numFmtId="0" fontId="0" fillId="0" borderId="32" xfId="0" applyBorder="1" applyAlignment="1" applyProtection="1">
      <alignment vertical="top"/>
      <protection/>
    </xf>
    <xf numFmtId="0" fontId="15"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0" fillId="0" borderId="0" xfId="0" applyFont="1" applyBorder="1" applyAlignment="1" applyProtection="1">
      <alignment wrapText="1"/>
      <protection/>
    </xf>
    <xf numFmtId="0" fontId="30" fillId="0" borderId="0" xfId="0" applyFont="1" applyBorder="1" applyProtection="1">
      <protection/>
    </xf>
    <xf numFmtId="0" fontId="29" fillId="0" borderId="49" xfId="0" applyFont="1" applyBorder="1" applyAlignment="1" applyProtection="1">
      <alignment horizontal="center"/>
      <protection/>
    </xf>
    <xf numFmtId="0" fontId="29" fillId="0" borderId="0" xfId="0" applyFont="1" applyBorder="1" applyProtection="1">
      <protection/>
    </xf>
    <xf numFmtId="0" fontId="30" fillId="0" borderId="49" xfId="0" applyFont="1" applyBorder="1" applyAlignment="1" applyProtection="1">
      <alignment horizontal="center" wrapText="1"/>
      <protection/>
    </xf>
    <xf numFmtId="0" fontId="30" fillId="0" borderId="0" xfId="0" applyFont="1" applyBorder="1" applyAlignment="1" applyProtection="1">
      <alignment horizontal="center" wrapText="1"/>
      <protection/>
    </xf>
    <xf numFmtId="0" fontId="30" fillId="0" borderId="0" xfId="0" applyFont="1" applyBorder="1" applyAlignment="1" applyProtection="1">
      <alignment horizontal="center"/>
      <protection/>
    </xf>
    <xf numFmtId="0" fontId="29" fillId="0" borderId="0" xfId="0" applyFont="1" applyBorder="1" applyAlignment="1" applyProtection="1">
      <alignment horizontal="center" wrapText="1"/>
      <protection/>
    </xf>
    <xf numFmtId="0" fontId="35" fillId="0" borderId="0" xfId="0" applyFont="1" applyBorder="1" applyAlignment="1" applyProtection="1">
      <alignment vertical="top"/>
      <protection/>
    </xf>
    <xf numFmtId="0" fontId="35" fillId="0" borderId="0" xfId="0" applyFont="1" applyBorder="1" applyProtection="1">
      <protection/>
    </xf>
    <xf numFmtId="0" fontId="14" fillId="0" borderId="0" xfId="0" applyFont="1" applyBorder="1" applyAlignment="1" applyProtection="1">
      <alignment vertical="center" wrapText="1"/>
      <protection/>
    </xf>
    <xf numFmtId="0" fontId="31" fillId="0" borderId="0" xfId="0" applyFont="1" applyBorder="1" applyAlignment="1" applyProtection="1" quotePrefix="1">
      <alignment vertical="center" wrapText="1"/>
      <protection/>
    </xf>
    <xf numFmtId="0" fontId="32" fillId="0" borderId="0" xfId="0" applyFont="1" applyBorder="1" applyProtection="1">
      <protection/>
    </xf>
    <xf numFmtId="0" fontId="30" fillId="0" borderId="0" xfId="0" applyFont="1" applyBorder="1" applyProtection="1">
      <protection/>
    </xf>
    <xf numFmtId="0" fontId="37" fillId="0" borderId="0" xfId="0" applyFont="1" applyBorder="1" applyAlignment="1" applyProtection="1" quotePrefix="1">
      <alignment vertical="center" wrapText="1"/>
      <protection/>
    </xf>
    <xf numFmtId="0" fontId="38" fillId="0" borderId="0" xfId="0" applyFont="1" applyBorder="1" applyProtection="1">
      <protection/>
    </xf>
    <xf numFmtId="0" fontId="36" fillId="0" borderId="0" xfId="0" applyFont="1" applyBorder="1" applyAlignment="1" applyProtection="1">
      <alignment vertical="top"/>
      <protection/>
    </xf>
    <xf numFmtId="0" fontId="32" fillId="0" borderId="27" xfId="0" applyFont="1" applyBorder="1" applyProtection="1">
      <protection/>
    </xf>
    <xf numFmtId="0" fontId="30"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19" fillId="0" borderId="27" xfId="0" applyFont="1" applyBorder="1" applyProtection="1">
      <protection/>
    </xf>
    <xf numFmtId="0" fontId="1" fillId="0" borderId="30" xfId="0" applyFont="1" applyBorder="1" applyProtection="1">
      <protection/>
    </xf>
    <xf numFmtId="0" fontId="19"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2" fillId="0" borderId="0" xfId="0" applyFont="1" applyBorder="1" applyAlignment="1" applyProtection="1">
      <alignment horizontal="center" wrapText="1"/>
      <protection/>
    </xf>
    <xf numFmtId="0" fontId="29" fillId="0" borderId="0" xfId="0" applyFont="1" applyBorder="1" applyAlignment="1" applyProtection="1">
      <alignment horizontal="center" vertical="top"/>
      <protection/>
    </xf>
    <xf numFmtId="0" fontId="32" fillId="0" borderId="49" xfId="0" applyFont="1" applyBorder="1" applyAlignment="1" applyProtection="1">
      <alignment horizontal="center" wrapText="1"/>
      <protection/>
    </xf>
    <xf numFmtId="0" fontId="19" fillId="0" borderId="50" xfId="0" applyFont="1" applyBorder="1" applyAlignment="1">
      <alignment horizontal="center" wrapText="1"/>
    </xf>
    <xf numFmtId="0" fontId="19" fillId="0" borderId="51" xfId="0" applyFont="1" applyBorder="1" applyAlignment="1">
      <alignment horizontal="center" wrapText="1"/>
    </xf>
    <xf numFmtId="0" fontId="29" fillId="0" borderId="0" xfId="0" applyFont="1" applyBorder="1" applyAlignment="1" applyProtection="1">
      <alignment horizontal="center"/>
      <protection locked="0"/>
    </xf>
    <xf numFmtId="0" fontId="29" fillId="0" borderId="0" xfId="0" applyFont="1" applyBorder="1" applyAlignment="1" applyProtection="1">
      <alignment horizontal="center" wrapText="1"/>
      <protection locked="0"/>
    </xf>
    <xf numFmtId="0" fontId="2" fillId="0" borderId="2" xfId="0" applyFont="1" applyBorder="1"/>
    <xf numFmtId="0" fontId="20" fillId="0" borderId="2" xfId="0" applyFont="1" applyBorder="1"/>
    <xf numFmtId="0" fontId="19"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xf numFmtId="0" fontId="17" fillId="0" borderId="0" xfId="0" applyFont="1" applyBorder="1" applyAlignment="1">
      <alignment horizontal="left" vertical="center" wrapText="1"/>
    </xf>
    <xf numFmtId="167" fontId="30" fillId="5" borderId="31" xfId="0" applyNumberFormat="1" applyFont="1" applyFill="1" applyBorder="1" applyAlignment="1" applyProtection="1">
      <alignment horizontal="center" vertical="center"/>
      <protection locked="0"/>
    </xf>
    <xf numFmtId="0" fontId="19"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xf numFmtId="0" fontId="1" fillId="0" borderId="6" xfId="0" applyFont="1" applyFill="1" applyBorder="1" applyAlignment="1">
      <alignment horizontal="right"/>
    </xf>
    <xf numFmtId="0" fontId="1" fillId="0" borderId="52"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0" fillId="0" borderId="0" xfId="18"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0" fillId="0" borderId="26" xfId="16" applyNumberFormat="1" applyFont="1" applyBorder="1"/>
    <xf numFmtId="0" fontId="19" fillId="2" borderId="50" xfId="0" applyFont="1" applyFill="1" applyBorder="1" applyAlignment="1">
      <alignment horizontal="center"/>
    </xf>
    <xf numFmtId="0" fontId="19"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0" fillId="2" borderId="3" xfId="16" applyNumberFormat="1" applyFont="1" applyFill="1" applyBorder="1"/>
    <xf numFmtId="0" fontId="19" fillId="0" borderId="0" xfId="0" applyFont="1" applyFill="1" applyBorder="1" applyAlignment="1">
      <alignment horizontal="right" vertical="center"/>
    </xf>
    <xf numFmtId="166" fontId="19" fillId="0" borderId="0" xfId="16" applyNumberFormat="1" applyFont="1" applyFill="1" applyBorder="1" applyAlignment="1">
      <alignment horizontal="center"/>
    </xf>
    <xf numFmtId="0" fontId="1" fillId="0" borderId="0" xfId="0" applyFont="1" applyAlignment="1">
      <alignment vertical="top"/>
    </xf>
    <xf numFmtId="0" fontId="29" fillId="0" borderId="0" xfId="0" applyFont="1" applyBorder="1" applyAlignment="1" applyProtection="1">
      <alignment vertical="top" wrapText="1"/>
      <protection locked="0"/>
    </xf>
    <xf numFmtId="0" fontId="29" fillId="2" borderId="31" xfId="0" applyFont="1" applyFill="1" applyBorder="1" applyAlignment="1" applyProtection="1">
      <alignment vertical="top"/>
      <protection locked="0"/>
    </xf>
    <xf numFmtId="0" fontId="19" fillId="0" borderId="24" xfId="0" applyFont="1" applyFill="1" applyBorder="1" applyAlignment="1">
      <alignment horizontal="left"/>
    </xf>
    <xf numFmtId="0" fontId="19"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2" fillId="3" borderId="27" xfId="0" applyNumberFormat="1" applyFont="1" applyFill="1" applyBorder="1" applyAlignment="1" applyProtection="1">
      <alignment horizontal="left" vertical="top"/>
      <protection locked="0"/>
    </xf>
    <xf numFmtId="0" fontId="0" fillId="0" borderId="0" xfId="0" applyFont="1" applyProtection="1">
      <protection locked="0"/>
    </xf>
    <xf numFmtId="0" fontId="0" fillId="3" borderId="27" xfId="0" applyFont="1" applyFill="1" applyBorder="1" applyAlignment="1" applyProtection="1">
      <alignment horizontal="left"/>
      <protection locked="0"/>
    </xf>
    <xf numFmtId="164" fontId="0" fillId="0" borderId="0" xfId="18" applyNumberFormat="1" applyFont="1"/>
    <xf numFmtId="0" fontId="30" fillId="3" borderId="31" xfId="0" applyFont="1" applyFill="1" applyBorder="1" applyAlignment="1" applyProtection="1" quotePrefix="1">
      <alignment horizontal="left" vertical="top"/>
      <protection locked="0"/>
    </xf>
    <xf numFmtId="166" fontId="1" fillId="6" borderId="5" xfId="16" applyNumberFormat="1" applyFont="1" applyFill="1" applyBorder="1" applyAlignment="1">
      <alignment horizontal="left"/>
    </xf>
    <xf numFmtId="166" fontId="1" fillId="6" borderId="21" xfId="16" applyNumberFormat="1" applyFont="1" applyFill="1" applyBorder="1"/>
    <xf numFmtId="0" fontId="19" fillId="0" borderId="23" xfId="0" applyFont="1" applyBorder="1" applyAlignment="1">
      <alignment wrapText="1"/>
    </xf>
    <xf numFmtId="0" fontId="19" fillId="0" borderId="9" xfId="0" applyFont="1" applyBorder="1" applyAlignment="1">
      <alignment wrapText="1"/>
    </xf>
    <xf numFmtId="166" fontId="29" fillId="3" borderId="31" xfId="0" applyNumberFormat="1" applyFont="1" applyFill="1" applyBorder="1" applyAlignment="1" applyProtection="1">
      <alignment vertical="top"/>
      <protection locked="0"/>
    </xf>
    <xf numFmtId="166" fontId="1" fillId="0" borderId="21" xfId="16" applyNumberFormat="1" applyFont="1" applyFill="1" applyBorder="1" applyAlignment="1">
      <alignment horizontal="right"/>
    </xf>
    <xf numFmtId="166" fontId="2" fillId="0" borderId="15" xfId="16" applyNumberFormat="1" applyFont="1" applyBorder="1" applyAlignment="1">
      <alignment horizontal="right"/>
    </xf>
    <xf numFmtId="1" fontId="19" fillId="0" borderId="6" xfId="0" applyNumberFormat="1" applyFont="1" applyFill="1" applyBorder="1" applyAlignment="1">
      <alignment horizontal="center" vertical="top" wrapText="1"/>
    </xf>
    <xf numFmtId="166" fontId="1" fillId="0" borderId="11" xfId="16" applyNumberFormat="1" applyFont="1" applyFill="1" applyBorder="1" applyAlignment="1">
      <alignment horizontal="right"/>
    </xf>
    <xf numFmtId="166" fontId="2" fillId="0" borderId="15" xfId="16" applyNumberFormat="1" applyFont="1" applyFill="1" applyBorder="1" applyAlignment="1">
      <alignment horizontal="left"/>
    </xf>
    <xf numFmtId="166" fontId="1" fillId="0" borderId="15" xfId="16" applyNumberFormat="1" applyFont="1" applyFill="1" applyBorder="1" applyAlignment="1">
      <alignment horizontal="left"/>
    </xf>
    <xf numFmtId="166" fontId="2" fillId="6" borderId="15" xfId="16" applyNumberFormat="1" applyFont="1" applyFill="1" applyBorder="1"/>
    <xf numFmtId="166" fontId="1" fillId="0" borderId="0" xfId="0" applyNumberFormat="1" applyFont="1" applyFill="1" applyBorder="1" applyAlignment="1">
      <alignment horizontal="left"/>
    </xf>
    <xf numFmtId="0" fontId="1" fillId="0" borderId="18" xfId="0" applyFont="1" applyFill="1" applyBorder="1" applyAlignment="1">
      <alignment horizontal="center"/>
    </xf>
    <xf numFmtId="166" fontId="1" fillId="0" borderId="18" xfId="16" applyNumberFormat="1" applyFont="1" applyFill="1" applyBorder="1" applyAlignment="1">
      <alignment horizontal="left"/>
    </xf>
    <xf numFmtId="1" fontId="1"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1" fontId="19" fillId="0" borderId="52" xfId="0" applyNumberFormat="1" applyFont="1" applyFill="1" applyBorder="1" applyAlignment="1">
      <alignment horizontal="center" wrapText="1"/>
    </xf>
    <xf numFmtId="0" fontId="16" fillId="0" borderId="52" xfId="0" applyFont="1" applyBorder="1" applyAlignment="1">
      <alignment horizontal="left" wrapText="1"/>
    </xf>
    <xf numFmtId="0" fontId="1" fillId="0" borderId="21" xfId="0" applyFont="1" applyBorder="1" applyAlignment="1">
      <alignment horizontal="center" wrapText="1"/>
    </xf>
    <xf numFmtId="0" fontId="1" fillId="0" borderId="21" xfId="0" applyFont="1" applyBorder="1" applyAlignment="1">
      <alignment horizontal="center"/>
    </xf>
    <xf numFmtId="0" fontId="1" fillId="0" borderId="52" xfId="0" applyFont="1" applyBorder="1" applyAlignment="1">
      <alignment horizontal="center"/>
    </xf>
    <xf numFmtId="0" fontId="1" fillId="0" borderId="22" xfId="0" applyFont="1" applyBorder="1" applyAlignment="1">
      <alignment horizontal="center"/>
    </xf>
    <xf numFmtId="166" fontId="2" fillId="0" borderId="15" xfId="16" applyNumberFormat="1" applyFont="1" applyFill="1" applyBorder="1"/>
    <xf numFmtId="0" fontId="0" fillId="0" borderId="27" xfId="0" applyFont="1" applyFill="1" applyBorder="1" applyAlignment="1" applyProtection="1">
      <alignment horizontal="left"/>
      <protection locked="0"/>
    </xf>
    <xf numFmtId="0" fontId="0" fillId="0" borderId="30" xfId="0" applyFill="1" applyBorder="1" applyProtection="1">
      <protection locked="0"/>
    </xf>
    <xf numFmtId="166" fontId="0" fillId="0" borderId="0" xfId="0" applyNumberFormat="1" applyAlignment="1">
      <alignment horizontal="left"/>
    </xf>
    <xf numFmtId="166" fontId="1" fillId="0" borderId="21" xfId="0" applyNumberFormat="1" applyFont="1" applyFill="1" applyBorder="1" applyAlignment="1">
      <alignment horizontal="right"/>
    </xf>
    <xf numFmtId="166" fontId="1" fillId="0" borderId="5" xfId="16" applyNumberFormat="1" applyFont="1" applyFill="1" applyBorder="1" applyAlignment="1">
      <alignment horizontal="center"/>
    </xf>
    <xf numFmtId="166" fontId="0" fillId="0" borderId="0" xfId="0" applyNumberFormat="1"/>
    <xf numFmtId="0" fontId="1" fillId="7" borderId="5" xfId="0" applyNumberFormat="1" applyFont="1" applyFill="1" applyBorder="1" applyAlignment="1">
      <alignment horizontal="center" wrapText="1"/>
    </xf>
    <xf numFmtId="0" fontId="0" fillId="7" borderId="27" xfId="0" applyFont="1" applyFill="1" applyBorder="1" applyAlignment="1" applyProtection="1">
      <alignment horizontal="left"/>
      <protection locked="0"/>
    </xf>
    <xf numFmtId="0" fontId="29" fillId="3" borderId="27" xfId="0" applyFont="1" applyFill="1" applyBorder="1" applyAlignment="1" applyProtection="1">
      <alignment wrapText="1"/>
      <protection locked="0"/>
    </xf>
    <xf numFmtId="0" fontId="29" fillId="3" borderId="30" xfId="0" applyFont="1" applyFill="1" applyBorder="1" applyAlignment="1" applyProtection="1">
      <alignment wrapText="1"/>
      <protection locked="0"/>
    </xf>
    <xf numFmtId="166" fontId="0" fillId="0" borderId="0" xfId="0" applyNumberFormat="1" applyAlignment="1" applyProtection="1">
      <alignment vertical="top"/>
      <protection locked="0"/>
    </xf>
    <xf numFmtId="14" fontId="19" fillId="0" borderId="0" xfId="0" applyNumberFormat="1" applyFont="1" applyFill="1" applyBorder="1" applyAlignment="1" quotePrefix="1">
      <alignment horizontal="left"/>
    </xf>
    <xf numFmtId="49" fontId="29" fillId="3" borderId="27" xfId="0" applyNumberFormat="1" applyFont="1" applyFill="1" applyBorder="1" applyAlignment="1" applyProtection="1">
      <alignment wrapText="1"/>
      <protection locked="0"/>
    </xf>
    <xf numFmtId="49" fontId="29" fillId="3" borderId="30" xfId="0" applyNumberFormat="1" applyFont="1" applyFill="1" applyBorder="1" applyAlignment="1" applyProtection="1">
      <alignment wrapText="1"/>
      <protection locked="0"/>
    </xf>
    <xf numFmtId="0" fontId="39" fillId="0" borderId="0" xfId="0" applyFont="1" applyBorder="1" applyAlignment="1" applyProtection="1">
      <alignment horizontal="left" vertical="top" wrapText="1"/>
      <protection/>
    </xf>
    <xf numFmtId="0" fontId="28" fillId="0" borderId="0" xfId="0" applyFont="1" applyAlignment="1" applyProtection="1">
      <alignment horizontal="center"/>
      <protection locked="0"/>
    </xf>
    <xf numFmtId="0" fontId="37" fillId="0" borderId="0" xfId="0" applyFont="1" applyFill="1" applyBorder="1" applyAlignment="1" applyProtection="1">
      <alignment horizontal="left" vertical="top" wrapText="1"/>
      <protection/>
    </xf>
    <xf numFmtId="0" fontId="37" fillId="0" borderId="24" xfId="0" applyFont="1" applyFill="1" applyBorder="1" applyAlignment="1" applyProtection="1">
      <alignment horizontal="left" vertical="top" wrapText="1"/>
      <protection/>
    </xf>
    <xf numFmtId="0" fontId="37" fillId="0" borderId="0" xfId="0" applyFont="1" applyFill="1" applyBorder="1" applyAlignment="1" applyProtection="1">
      <alignment vertical="top" wrapText="1"/>
      <protection/>
    </xf>
    <xf numFmtId="0" fontId="37" fillId="0" borderId="24" xfId="0" applyFont="1" applyFill="1" applyBorder="1" applyAlignment="1" applyProtection="1">
      <alignment vertical="top" wrapText="1"/>
      <protection/>
    </xf>
    <xf numFmtId="0" fontId="37" fillId="0" borderId="0" xfId="0" applyFont="1" applyFill="1" applyBorder="1" applyAlignment="1" applyProtection="1" quotePrefix="1">
      <alignment vertical="top" wrapText="1"/>
      <protection/>
    </xf>
    <xf numFmtId="0" fontId="29" fillId="0" borderId="49" xfId="0" applyFont="1" applyBorder="1" applyAlignment="1" applyProtection="1">
      <alignment horizontal="center" vertical="center"/>
      <protection/>
    </xf>
    <xf numFmtId="0" fontId="32" fillId="0" borderId="0" xfId="0" applyFont="1" applyBorder="1" applyAlignment="1" applyProtection="1">
      <alignment wrapText="1"/>
      <protection/>
    </xf>
    <xf numFmtId="0" fontId="37" fillId="0" borderId="0" xfId="0" applyFont="1" applyBorder="1" applyAlignment="1" applyProtection="1">
      <alignment vertical="center" wrapText="1"/>
      <protection/>
    </xf>
    <xf numFmtId="0" fontId="37" fillId="0" borderId="0" xfId="0" applyFont="1" applyBorder="1" applyAlignment="1" applyProtection="1" quotePrefix="1">
      <alignment vertical="center" wrapText="1"/>
      <protection/>
    </xf>
    <xf numFmtId="0" fontId="37" fillId="0" borderId="0" xfId="0" applyFont="1" applyBorder="1" applyAlignment="1" applyProtection="1">
      <alignment horizontal="left" vertical="center" wrapText="1"/>
      <protection/>
    </xf>
    <xf numFmtId="0" fontId="37" fillId="0" borderId="24" xfId="0" applyFont="1" applyBorder="1" applyAlignment="1" applyProtection="1">
      <alignment horizontal="left" vertical="center" wrapText="1"/>
      <protection/>
    </xf>
    <xf numFmtId="0" fontId="30" fillId="5" borderId="27"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left" vertical="center" wrapText="1"/>
      <protection locked="0"/>
    </xf>
    <xf numFmtId="0" fontId="30" fillId="5" borderId="30" xfId="0" applyFont="1" applyFill="1" applyBorder="1" applyAlignment="1" applyProtection="1">
      <alignment horizontal="left" vertical="center" wrapText="1"/>
      <protection locked="0"/>
    </xf>
    <xf numFmtId="0" fontId="38" fillId="0" borderId="33" xfId="0" applyFont="1" applyBorder="1" applyAlignment="1" applyProtection="1" quotePrefix="1">
      <alignment vertical="top" wrapText="1"/>
      <protection/>
    </xf>
    <xf numFmtId="0" fontId="30" fillId="0" borderId="49" xfId="0" applyFont="1" applyBorder="1" applyAlignment="1" applyProtection="1">
      <alignment horizontal="center" wrapText="1"/>
      <protection/>
    </xf>
    <xf numFmtId="0" fontId="30" fillId="3" borderId="27" xfId="0" applyFont="1" applyFill="1" applyBorder="1" applyAlignment="1" applyProtection="1">
      <alignment horizontal="left"/>
      <protection locked="0"/>
    </xf>
    <xf numFmtId="0" fontId="30" fillId="3" borderId="35" xfId="0" applyFont="1" applyFill="1" applyBorder="1" applyAlignment="1" applyProtection="1">
      <alignment horizontal="left"/>
      <protection locked="0"/>
    </xf>
    <xf numFmtId="0" fontId="39" fillId="0" borderId="0" xfId="0" applyFont="1" applyBorder="1" applyAlignment="1" applyProtection="1" quotePrefix="1">
      <alignment vertical="top" wrapText="1"/>
      <protection/>
    </xf>
    <xf numFmtId="0" fontId="39" fillId="0" borderId="0" xfId="0" applyFont="1" applyBorder="1" applyAlignment="1" applyProtection="1">
      <alignment vertical="top" wrapText="1"/>
      <protection/>
    </xf>
    <xf numFmtId="0" fontId="31" fillId="0" borderId="0" xfId="0" applyFont="1" applyBorder="1" applyAlignment="1" applyProtection="1" quotePrefix="1">
      <alignment vertical="center" wrapText="1"/>
      <protection/>
    </xf>
    <xf numFmtId="0" fontId="32" fillId="0" borderId="0" xfId="0" applyFont="1" applyFill="1" applyBorder="1" applyAlignment="1" applyProtection="1">
      <alignment wrapText="1"/>
      <protection/>
    </xf>
    <xf numFmtId="0" fontId="32" fillId="0" borderId="0" xfId="0" applyFont="1" applyBorder="1" applyAlignment="1" applyProtection="1">
      <alignment vertical="top" wrapText="1"/>
      <protection/>
    </xf>
    <xf numFmtId="0" fontId="32" fillId="0" borderId="27" xfId="0" applyFont="1" applyBorder="1" applyAlignment="1" applyProtection="1">
      <alignment vertical="top" wrapText="1"/>
      <protection/>
    </xf>
    <xf numFmtId="0" fontId="32" fillId="0" borderId="30" xfId="0" applyFont="1" applyBorder="1" applyAlignment="1" applyProtection="1">
      <alignment vertical="top" wrapText="1"/>
      <protection/>
    </xf>
    <xf numFmtId="0" fontId="29" fillId="0" borderId="49" xfId="0" applyFont="1" applyBorder="1" applyAlignment="1" applyProtection="1">
      <alignment horizontal="center" wrapText="1"/>
      <protection/>
    </xf>
    <xf numFmtId="0" fontId="29" fillId="0" borderId="49" xfId="0" applyFont="1" applyBorder="1" applyAlignment="1" applyProtection="1">
      <alignment horizontal="center"/>
      <protection/>
    </xf>
    <xf numFmtId="0" fontId="32" fillId="0" borderId="27" xfId="0" applyFont="1" applyBorder="1" applyAlignment="1" applyProtection="1">
      <alignment wrapText="1"/>
      <protection/>
    </xf>
    <xf numFmtId="0" fontId="32" fillId="0" borderId="30" xfId="0" applyFont="1" applyBorder="1" applyAlignment="1" applyProtection="1">
      <alignment wrapText="1"/>
      <protection/>
    </xf>
    <xf numFmtId="0" fontId="32" fillId="0" borderId="27" xfId="0" applyFont="1" applyFill="1" applyBorder="1" applyAlignment="1" applyProtection="1">
      <alignment wrapText="1"/>
      <protection/>
    </xf>
    <xf numFmtId="0" fontId="32" fillId="0" borderId="30" xfId="0" applyFont="1" applyFill="1" applyBorder="1" applyAlignment="1" applyProtection="1">
      <alignment wrapText="1"/>
      <protection/>
    </xf>
    <xf numFmtId="0" fontId="19" fillId="0" borderId="27" xfId="0" applyFont="1" applyBorder="1" applyAlignment="1" applyProtection="1">
      <alignment wrapText="1"/>
      <protection/>
    </xf>
    <xf numFmtId="0" fontId="19" fillId="0" borderId="30" xfId="0" applyFont="1" applyBorder="1" applyAlignment="1" applyProtection="1">
      <alignment wrapText="1"/>
      <protection/>
    </xf>
    <xf numFmtId="0" fontId="19" fillId="0" borderId="27" xfId="0" applyFont="1" applyBorder="1" applyAlignment="1" applyProtection="1">
      <alignment vertical="top" wrapText="1"/>
      <protection/>
    </xf>
    <xf numFmtId="0" fontId="19" fillId="0" borderId="30" xfId="0" applyFont="1" applyBorder="1" applyAlignment="1" applyProtection="1">
      <alignment vertical="top" wrapText="1"/>
      <protection/>
    </xf>
    <xf numFmtId="0" fontId="19" fillId="0" borderId="27" xfId="0" applyFont="1" applyFill="1" applyBorder="1" applyAlignment="1" applyProtection="1">
      <alignment wrapText="1"/>
      <protection/>
    </xf>
    <xf numFmtId="0" fontId="19" fillId="0" borderId="30" xfId="0" applyFont="1" applyFill="1" applyBorder="1" applyAlignment="1" applyProtection="1">
      <alignment wrapText="1"/>
      <protection/>
    </xf>
    <xf numFmtId="0" fontId="19" fillId="0" borderId="28" xfId="0" applyFont="1" applyBorder="1" applyAlignment="1" applyProtection="1">
      <alignment vertical="top" wrapText="1"/>
      <protection/>
    </xf>
    <xf numFmtId="0" fontId="1" fillId="0" borderId="21" xfId="0" applyNumberFormat="1" applyFont="1" applyFill="1" applyBorder="1" applyAlignment="1">
      <alignment horizontal="center" wrapText="1"/>
    </xf>
    <xf numFmtId="0" fontId="1" fillId="0" borderId="54" xfId="0" applyNumberFormat="1" applyFont="1" applyFill="1" applyBorder="1" applyAlignment="1">
      <alignment horizontal="center" wrapText="1"/>
    </xf>
    <xf numFmtId="0" fontId="1" fillId="0" borderId="55" xfId="0" applyNumberFormat="1" applyFont="1" applyFill="1" applyBorder="1" applyAlignment="1">
      <alignment horizontal="center" wrapText="1"/>
    </xf>
    <xf numFmtId="0" fontId="39" fillId="0" borderId="0" xfId="0" applyFont="1" applyBorder="1" applyAlignment="1" applyProtection="1">
      <alignment vertical="top" wrapText="1"/>
      <protection locked="0"/>
    </xf>
    <xf numFmtId="0" fontId="1" fillId="0" borderId="0" xfId="0" applyFont="1" applyAlignment="1" applyProtection="1">
      <alignment wrapText="1"/>
      <protection/>
    </xf>
    <xf numFmtId="0" fontId="29" fillId="0" borderId="0" xfId="0" applyFont="1" applyBorder="1" applyAlignment="1" applyProtection="1">
      <alignment horizontal="center"/>
      <protection/>
    </xf>
    <xf numFmtId="0" fontId="32" fillId="0" borderId="0" xfId="0" applyFont="1" applyFill="1" applyBorder="1" applyAlignment="1" applyProtection="1">
      <alignment horizontal="center" wrapText="1"/>
      <protection/>
    </xf>
    <xf numFmtId="0" fontId="32" fillId="0" borderId="49" xfId="0" applyFont="1" applyFill="1" applyBorder="1" applyAlignment="1" applyProtection="1">
      <alignment horizontal="center" wrapText="1"/>
      <protection/>
    </xf>
    <xf numFmtId="0" fontId="29" fillId="5" borderId="27" xfId="0" applyFont="1" applyFill="1" applyBorder="1" applyAlignment="1" applyProtection="1">
      <alignment vertical="top"/>
      <protection locked="0"/>
    </xf>
    <xf numFmtId="0" fontId="29" fillId="5" borderId="28" xfId="0" applyFont="1" applyFill="1" applyBorder="1" applyAlignment="1" applyProtection="1">
      <alignment vertical="top"/>
      <protection locked="0"/>
    </xf>
    <xf numFmtId="0" fontId="29" fillId="5" borderId="30" xfId="0" applyFont="1" applyFill="1" applyBorder="1" applyAlignment="1" applyProtection="1">
      <alignment vertical="top"/>
      <protection locked="0"/>
    </xf>
    <xf numFmtId="49" fontId="29" fillId="5" borderId="27" xfId="0" applyNumberFormat="1" applyFont="1" applyFill="1" applyBorder="1" applyAlignment="1" applyProtection="1" quotePrefix="1">
      <alignment vertical="center" wrapText="1"/>
      <protection/>
    </xf>
    <xf numFmtId="49" fontId="29" fillId="5" borderId="28" xfId="0" applyNumberFormat="1" applyFont="1" applyFill="1" applyBorder="1" applyAlignment="1" applyProtection="1" quotePrefix="1">
      <alignment vertical="center" wrapText="1"/>
      <protection/>
    </xf>
    <xf numFmtId="49" fontId="29" fillId="5" borderId="30" xfId="0" applyNumberFormat="1" applyFont="1" applyFill="1" applyBorder="1" applyAlignment="1" applyProtection="1" quotePrefix="1">
      <alignment vertical="center" wrapText="1"/>
      <protection/>
    </xf>
    <xf numFmtId="49" fontId="29" fillId="5" borderId="27" xfId="0" applyNumberFormat="1" applyFont="1" applyFill="1" applyBorder="1" applyAlignment="1" applyProtection="1" quotePrefix="1">
      <alignment vertical="center" wrapText="1"/>
      <protection locked="0"/>
    </xf>
    <xf numFmtId="49" fontId="29" fillId="5" borderId="28" xfId="0" applyNumberFormat="1" applyFont="1" applyFill="1" applyBorder="1" applyAlignment="1" applyProtection="1" quotePrefix="1">
      <alignment vertical="center" wrapText="1"/>
      <protection locked="0"/>
    </xf>
    <xf numFmtId="49" fontId="29" fillId="5" borderId="30" xfId="0" applyNumberFormat="1" applyFont="1" applyFill="1" applyBorder="1" applyAlignment="1" applyProtection="1" quotePrefix="1">
      <alignment vertical="center" wrapText="1"/>
      <protection locked="0"/>
    </xf>
    <xf numFmtId="49" fontId="29" fillId="7" borderId="27" xfId="0" applyNumberFormat="1" applyFont="1" applyFill="1" applyBorder="1" applyAlignment="1" applyProtection="1" quotePrefix="1">
      <alignment vertical="center" wrapText="1"/>
      <protection locked="0"/>
    </xf>
    <xf numFmtId="49" fontId="29" fillId="7" borderId="28" xfId="0" applyNumberFormat="1" applyFont="1" applyFill="1" applyBorder="1" applyAlignment="1" applyProtection="1" quotePrefix="1">
      <alignment vertical="center" wrapText="1"/>
      <protection locked="0"/>
    </xf>
    <xf numFmtId="49" fontId="29" fillId="7" borderId="30" xfId="0" applyNumberFormat="1" applyFont="1" applyFill="1" applyBorder="1" applyAlignment="1" applyProtection="1" quotePrefix="1">
      <alignment vertical="center" wrapText="1"/>
      <protection locked="0"/>
    </xf>
    <xf numFmtId="0" fontId="19" fillId="0" borderId="23" xfId="0" applyFont="1" applyBorder="1" applyAlignment="1">
      <alignment wrapText="1"/>
    </xf>
    <xf numFmtId="0" fontId="19" fillId="0" borderId="9" xfId="0" applyFont="1" applyBorder="1" applyAlignment="1">
      <alignment wrapText="1"/>
    </xf>
    <xf numFmtId="0" fontId="19" fillId="0" borderId="23" xfId="0" applyFont="1" applyFill="1" applyBorder="1" applyAlignment="1">
      <alignment wrapText="1"/>
    </xf>
    <xf numFmtId="0" fontId="19" fillId="0" borderId="9" xfId="0" applyFont="1" applyFill="1" applyBorder="1" applyAlignment="1">
      <alignment wrapText="1"/>
    </xf>
    <xf numFmtId="0" fontId="19" fillId="0" borderId="8" xfId="0" applyFont="1" applyFill="1" applyBorder="1" applyAlignment="1">
      <alignment horizontal="left"/>
    </xf>
    <xf numFmtId="0" fontId="19" fillId="0" borderId="23" xfId="0" applyFont="1" applyFill="1" applyBorder="1" applyAlignment="1">
      <alignment horizontal="left"/>
    </xf>
    <xf numFmtId="0" fontId="19" fillId="0" borderId="9" xfId="0" applyFont="1" applyFill="1" applyBorder="1" applyAlignment="1">
      <alignment horizontal="left"/>
    </xf>
    <xf numFmtId="0" fontId="23" fillId="0" borderId="0" xfId="0" applyFont="1" applyAlignment="1">
      <alignment horizontal="center"/>
    </xf>
    <xf numFmtId="0" fontId="3" fillId="8" borderId="56" xfId="0" applyFont="1" applyFill="1" applyBorder="1" applyAlignment="1">
      <alignment horizontal="center" vertical="center"/>
    </xf>
    <xf numFmtId="0" fontId="17" fillId="0" borderId="0" xfId="0" applyFont="1" applyBorder="1" applyAlignment="1" quotePrefix="1">
      <alignment horizontal="left" vertical="center" wrapText="1"/>
    </xf>
    <xf numFmtId="0" fontId="17" fillId="0" borderId="0" xfId="0" applyFont="1" applyBorder="1" applyAlignment="1">
      <alignment horizontal="left" vertical="center" wrapText="1"/>
    </xf>
    <xf numFmtId="0" fontId="1" fillId="0" borderId="54" xfId="0" applyFont="1" applyBorder="1" applyAlignment="1">
      <alignment horizontal="left"/>
    </xf>
    <xf numFmtId="0" fontId="1" fillId="0" borderId="57" xfId="0" applyFont="1" applyBorder="1" applyAlignment="1">
      <alignment horizontal="left"/>
    </xf>
    <xf numFmtId="0" fontId="1" fillId="0" borderId="55" xfId="0" applyFont="1" applyBorder="1" applyAlignment="1">
      <alignment horizontal="left"/>
    </xf>
    <xf numFmtId="0" fontId="1" fillId="0" borderId="0" xfId="0" applyFont="1" applyFill="1" applyBorder="1" applyAlignment="1">
      <alignment wrapText="1"/>
    </xf>
    <xf numFmtId="0" fontId="14" fillId="8" borderId="56" xfId="0" applyFont="1" applyFill="1" applyBorder="1" applyAlignment="1">
      <alignment horizontal="center" vertical="center"/>
    </xf>
    <xf numFmtId="0" fontId="19" fillId="0" borderId="23" xfId="0" applyFont="1" applyBorder="1" applyAlignment="1">
      <alignment vertical="top" wrapText="1"/>
    </xf>
    <xf numFmtId="0" fontId="19" fillId="0" borderId="9" xfId="0" applyFont="1" applyBorder="1" applyAlignment="1">
      <alignment vertical="top" wrapText="1"/>
    </xf>
    <xf numFmtId="0" fontId="1" fillId="0" borderId="16" xfId="0" applyFont="1" applyFill="1" applyBorder="1" applyAlignment="1">
      <alignment horizontal="left"/>
    </xf>
    <xf numFmtId="0" fontId="1" fillId="0" borderId="0" xfId="0" applyFont="1" applyFill="1" applyBorder="1" applyAlignment="1">
      <alignment horizontal="left"/>
    </xf>
    <xf numFmtId="0" fontId="20" fillId="0" borderId="0" xfId="0" applyFont="1" applyFill="1" applyBorder="1" applyAlignment="1">
      <alignment horizontal="left"/>
    </xf>
    <xf numFmtId="0" fontId="1" fillId="0" borderId="16" xfId="0" applyFont="1" applyFill="1" applyBorder="1"/>
    <xf numFmtId="0" fontId="1" fillId="0" borderId="0" xfId="0" applyFont="1" applyFill="1" applyBorder="1"/>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8" xfId="0" applyFont="1" applyBorder="1" applyAlignment="1">
      <alignment vertical="top"/>
    </xf>
    <xf numFmtId="0" fontId="19" fillId="0" borderId="0" xfId="0" applyFont="1" applyFill="1" applyBorder="1" applyAlignment="1">
      <alignment horizontal="left"/>
    </xf>
    <xf numFmtId="0" fontId="1" fillId="0" borderId="16" xfId="0" applyFont="1" applyFill="1" applyBorder="1" applyAlignment="1">
      <alignment wrapText="1"/>
    </xf>
    <xf numFmtId="0" fontId="10" fillId="0" borderId="0" xfId="0" applyFont="1" applyFill="1" applyAlignment="1">
      <alignment/>
    </xf>
    <xf numFmtId="0" fontId="19" fillId="0" borderId="50" xfId="0" applyFont="1" applyFill="1" applyBorder="1" applyAlignment="1">
      <alignment horizontal="center" wrapText="1"/>
    </xf>
    <xf numFmtId="0" fontId="19" fillId="0" borderId="51" xfId="0" applyFont="1" applyFill="1" applyBorder="1" applyAlignment="1">
      <alignment horizontal="center" wrapText="1"/>
    </xf>
    <xf numFmtId="0" fontId="10" fillId="0" borderId="0" xfId="0" applyFont="1" applyFill="1" applyAlignment="1">
      <alignment horizontal="left" wrapText="1"/>
    </xf>
    <xf numFmtId="0" fontId="19" fillId="0" borderId="54" xfId="0" applyFont="1" applyBorder="1"/>
    <xf numFmtId="0" fontId="19" fillId="0" borderId="57" xfId="0" applyFont="1" applyBorder="1"/>
    <xf numFmtId="0" fontId="19" fillId="0" borderId="38" xfId="0" applyFont="1" applyBorder="1"/>
    <xf numFmtId="0" fontId="19" fillId="0" borderId="53" xfId="0" applyFont="1" applyBorder="1"/>
    <xf numFmtId="0" fontId="19" fillId="0" borderId="49" xfId="0" applyFont="1" applyBorder="1"/>
    <xf numFmtId="0" fontId="19" fillId="0" borderId="39" xfId="0" applyFont="1" applyBorder="1"/>
    <xf numFmtId="0" fontId="19" fillId="0" borderId="50" xfId="0" applyFont="1" applyBorder="1" applyAlignment="1">
      <alignment horizontal="center" wrapText="1"/>
    </xf>
    <xf numFmtId="0" fontId="19" fillId="0" borderId="51" xfId="0" applyFont="1" applyBorder="1" applyAlignment="1">
      <alignment horizontal="center" wrapText="1"/>
    </xf>
    <xf numFmtId="0" fontId="1" fillId="0" borderId="50" xfId="0" applyFont="1" applyBorder="1" applyAlignment="1">
      <alignment horizontal="center" wrapText="1"/>
    </xf>
    <xf numFmtId="0" fontId="1" fillId="0" borderId="51" xfId="0" applyFont="1" applyBorder="1" applyAlignment="1">
      <alignment horizontal="center" wrapText="1"/>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0" fontId="10" fillId="0" borderId="0" xfId="0" applyFont="1" applyAlignment="1" applyProtection="1">
      <alignment vertical="top" wrapText="1"/>
      <protection locked="0"/>
    </xf>
    <xf numFmtId="0" fontId="1" fillId="0" borderId="0" xfId="0" applyFont="1" applyAlignment="1">
      <alignment vertical="top" wrapText="1"/>
    </xf>
    <xf numFmtId="3" fontId="10" fillId="0" borderId="0" xfId="0" applyNumberFormat="1" applyFont="1" applyFill="1" applyAlignment="1">
      <alignment vertical="top" wrapText="1"/>
    </xf>
    <xf numFmtId="3" fontId="10" fillId="0" borderId="0" xfId="0" applyNumberFormat="1" applyFont="1" applyAlignment="1" quotePrefix="1">
      <alignment vertical="top" wrapText="1"/>
    </xf>
    <xf numFmtId="3" fontId="10" fillId="0" borderId="0" xfId="0" applyNumberFormat="1" applyFont="1" applyFill="1" applyAlignment="1" quotePrefix="1">
      <alignment vertical="top" wrapText="1"/>
    </xf>
    <xf numFmtId="167" fontId="19" fillId="0" borderId="27" xfId="18" applyNumberFormat="1" applyFont="1" applyFill="1" applyBorder="1" applyAlignment="1">
      <alignment horizontal="center" vertical="center" wrapText="1"/>
    </xf>
    <xf numFmtId="167" fontId="19" fillId="0" borderId="28" xfId="18" applyNumberFormat="1" applyFont="1" applyFill="1" applyBorder="1" applyAlignment="1">
      <alignment horizontal="center" vertical="center" wrapText="1"/>
    </xf>
    <xf numFmtId="167" fontId="19" fillId="0" borderId="30" xfId="18" applyNumberFormat="1" applyFont="1" applyFill="1" applyBorder="1" applyAlignment="1">
      <alignment horizontal="center" vertical="center" wrapText="1"/>
    </xf>
    <xf numFmtId="0" fontId="19" fillId="0" borderId="59" xfId="0" applyFont="1" applyBorder="1" applyAlignment="1">
      <alignment horizontal="center" wrapText="1"/>
    </xf>
    <xf numFmtId="0" fontId="19" fillId="0" borderId="60" xfId="0" applyFont="1" applyBorder="1" applyAlignment="1">
      <alignment horizontal="center" wrapText="1"/>
    </xf>
    <xf numFmtId="3" fontId="1" fillId="0" borderId="54" xfId="0" applyNumberFormat="1" applyFont="1" applyBorder="1" applyAlignment="1">
      <alignment horizontal="center" vertical="center" wrapText="1"/>
    </xf>
    <xf numFmtId="3" fontId="1" fillId="0" borderId="55"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8" xfId="0" applyNumberFormat="1" applyFont="1" applyBorder="1" applyAlignment="1">
      <alignment horizontal="center" vertical="center" wrapText="1"/>
    </xf>
    <xf numFmtId="0" fontId="1" fillId="0" borderId="0" xfId="0" applyFont="1"/>
    <xf numFmtId="0" fontId="3" fillId="8" borderId="56" xfId="0" applyFont="1" applyFill="1" applyBorder="1" applyAlignment="1">
      <alignment horizontal="center" vertical="center"/>
    </xf>
    <xf numFmtId="0" fontId="19" fillId="0" borderId="61" xfId="0" applyFont="1" applyFill="1" applyBorder="1" applyAlignment="1">
      <alignment horizontal="left"/>
    </xf>
    <xf numFmtId="0" fontId="19" fillId="0" borderId="62" xfId="0" applyFont="1" applyFill="1" applyBorder="1" applyAlignment="1">
      <alignment horizontal="left"/>
    </xf>
    <xf numFmtId="0" fontId="19" fillId="0" borderId="63" xfId="0" applyFont="1" applyFill="1" applyBorder="1" applyAlignment="1">
      <alignment horizontal="left"/>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xf>
    <xf numFmtId="166" fontId="1" fillId="0" borderId="7" xfId="16" applyNumberFormat="1" applyFont="1" applyBorder="1"/>
    <xf numFmtId="166" fontId="1" fillId="0" borderId="64" xfId="16" applyNumberFormat="1" applyFont="1" applyBorder="1"/>
    <xf numFmtId="166" fontId="2" fillId="0" borderId="1" xfId="16" applyNumberFormat="1" applyFont="1" applyBorder="1"/>
    <xf numFmtId="166" fontId="2" fillId="0" borderId="65" xfId="16"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54"/>
  <sheetViews>
    <sheetView showGridLines="0" workbookViewId="0" topLeftCell="F133">
      <selection activeCell="J141" sqref="J141"/>
    </sheetView>
  </sheetViews>
  <sheetFormatPr defaultColWidth="9.140625" defaultRowHeight="12.75"/>
  <cols>
    <col min="1" max="1" width="2.00390625" style="101" customWidth="1"/>
    <col min="2" max="2" width="2.8515625" style="101" customWidth="1"/>
    <col min="3" max="3" width="41.8515625" style="101" customWidth="1"/>
    <col min="4" max="4" width="12.8515625" style="101" customWidth="1"/>
    <col min="5" max="5" width="63.140625" style="101" customWidth="1"/>
    <col min="6" max="6" width="21.8515625" style="101" customWidth="1"/>
    <col min="7" max="7" width="15.8515625" style="101" customWidth="1"/>
    <col min="8" max="8" width="15.140625" style="101" customWidth="1"/>
    <col min="9" max="9" width="17.140625" style="101" customWidth="1"/>
    <col min="10" max="12" width="14.8515625" style="101" customWidth="1"/>
    <col min="13" max="13" width="15.28125" style="101" customWidth="1"/>
    <col min="14" max="14" width="13.8515625" style="101" customWidth="1"/>
    <col min="15" max="15" width="3.00390625" style="101" customWidth="1"/>
    <col min="16" max="16384" width="9.140625" style="101" customWidth="1"/>
  </cols>
  <sheetData>
    <row r="1" ht="17.4">
      <c r="C1" s="102"/>
    </row>
    <row r="2" spans="3:14" ht="22.8">
      <c r="C2" s="352" t="s">
        <v>123</v>
      </c>
      <c r="D2" s="352"/>
      <c r="E2" s="352"/>
      <c r="F2" s="352"/>
      <c r="G2" s="352"/>
      <c r="H2" s="352"/>
      <c r="I2" s="352"/>
      <c r="J2" s="352"/>
      <c r="K2" s="352"/>
      <c r="L2" s="352"/>
      <c r="M2" s="352"/>
      <c r="N2" s="163"/>
    </row>
    <row r="3" ht="13.8">
      <c r="C3" s="105"/>
    </row>
    <row r="4" spans="3:12" ht="13.8">
      <c r="C4" s="215" t="s">
        <v>66</v>
      </c>
      <c r="I4" s="161"/>
      <c r="J4" s="105" t="s">
        <v>97</v>
      </c>
      <c r="K4" s="105"/>
      <c r="L4" s="105"/>
    </row>
    <row r="5" spans="3:12" ht="13.8">
      <c r="C5" s="215" t="s">
        <v>67</v>
      </c>
      <c r="I5" s="160"/>
      <c r="J5" s="105" t="s">
        <v>96</v>
      </c>
      <c r="K5" s="105"/>
      <c r="L5" s="105"/>
    </row>
    <row r="6" ht="13.8" thickBot="1"/>
    <row r="7" spans="2:15" ht="18" thickTop="1">
      <c r="B7" s="191"/>
      <c r="C7" s="216" t="s">
        <v>90</v>
      </c>
      <c r="D7" s="217"/>
      <c r="E7" s="217"/>
      <c r="F7" s="217"/>
      <c r="G7" s="108"/>
      <c r="H7" s="108"/>
      <c r="I7" s="108"/>
      <c r="J7" s="108"/>
      <c r="K7" s="108"/>
      <c r="L7" s="108"/>
      <c r="M7" s="108"/>
      <c r="N7" s="108"/>
      <c r="O7" s="192"/>
    </row>
    <row r="8" spans="2:15" ht="12.75">
      <c r="B8" s="193"/>
      <c r="C8" s="218"/>
      <c r="D8" s="218"/>
      <c r="E8" s="218"/>
      <c r="F8" s="218"/>
      <c r="G8" s="109"/>
      <c r="H8" s="109"/>
      <c r="I8" s="109"/>
      <c r="J8" s="109"/>
      <c r="K8" s="109"/>
      <c r="L8" s="109"/>
      <c r="M8" s="109"/>
      <c r="N8" s="109"/>
      <c r="O8" s="194"/>
    </row>
    <row r="9" spans="2:15" ht="13.8" thickBot="1">
      <c r="B9" s="193"/>
      <c r="C9" s="219" t="s">
        <v>62</v>
      </c>
      <c r="D9" s="219" t="s">
        <v>63</v>
      </c>
      <c r="E9" s="219"/>
      <c r="F9" s="219"/>
      <c r="G9" s="219" t="s">
        <v>64</v>
      </c>
      <c r="H9" s="117"/>
      <c r="I9" s="117"/>
      <c r="J9" s="117"/>
      <c r="K9" s="117"/>
      <c r="L9" s="117"/>
      <c r="M9" s="117"/>
      <c r="N9" s="109"/>
      <c r="O9" s="194"/>
    </row>
    <row r="10" spans="2:15" ht="27.15" customHeight="1" thickBot="1" thickTop="1">
      <c r="B10" s="193"/>
      <c r="C10" s="242" t="s">
        <v>140</v>
      </c>
      <c r="D10" s="218"/>
      <c r="E10" s="218"/>
      <c r="F10" s="218"/>
      <c r="G10" s="131" t="s">
        <v>186</v>
      </c>
      <c r="H10" s="132"/>
      <c r="I10" s="132"/>
      <c r="J10" s="132"/>
      <c r="K10" s="132"/>
      <c r="L10" s="132"/>
      <c r="M10" s="133"/>
      <c r="N10" s="109"/>
      <c r="O10" s="194"/>
    </row>
    <row r="11" spans="2:15" ht="15" thickBot="1">
      <c r="B11" s="193"/>
      <c r="C11" s="220" t="s">
        <v>0</v>
      </c>
      <c r="D11" s="353" t="s">
        <v>75</v>
      </c>
      <c r="E11" s="353"/>
      <c r="F11" s="354"/>
      <c r="G11" s="131" t="s">
        <v>187</v>
      </c>
      <c r="H11" s="132"/>
      <c r="I11" s="132"/>
      <c r="J11" s="132"/>
      <c r="K11" s="132"/>
      <c r="L11" s="132"/>
      <c r="M11" s="133"/>
      <c r="N11" s="109"/>
      <c r="O11" s="195"/>
    </row>
    <row r="12" spans="2:15" ht="15" thickBot="1">
      <c r="B12" s="193"/>
      <c r="C12" s="221" t="s">
        <v>1</v>
      </c>
      <c r="D12" s="355" t="s">
        <v>74</v>
      </c>
      <c r="E12" s="355"/>
      <c r="F12" s="356"/>
      <c r="G12" s="131" t="s">
        <v>188</v>
      </c>
      <c r="H12" s="132"/>
      <c r="I12" s="132"/>
      <c r="J12" s="132"/>
      <c r="K12" s="132"/>
      <c r="L12" s="132"/>
      <c r="M12" s="133"/>
      <c r="N12" s="109"/>
      <c r="O12" s="196"/>
    </row>
    <row r="13" spans="2:15" ht="15" thickBot="1">
      <c r="B13" s="193"/>
      <c r="C13" s="221" t="s">
        <v>10</v>
      </c>
      <c r="D13" s="355" t="s">
        <v>73</v>
      </c>
      <c r="E13" s="355"/>
      <c r="F13" s="356"/>
      <c r="G13" s="131" t="s">
        <v>161</v>
      </c>
      <c r="H13" s="132"/>
      <c r="I13" s="132"/>
      <c r="J13" s="132"/>
      <c r="K13" s="132"/>
      <c r="L13" s="132"/>
      <c r="M13" s="133"/>
      <c r="N13" s="109"/>
      <c r="O13" s="197"/>
    </row>
    <row r="14" spans="2:15" ht="15" thickBot="1">
      <c r="B14" s="193"/>
      <c r="C14" s="221" t="s">
        <v>9</v>
      </c>
      <c r="D14" s="357" t="s">
        <v>72</v>
      </c>
      <c r="E14" s="355"/>
      <c r="F14" s="356"/>
      <c r="G14" s="131" t="s">
        <v>143</v>
      </c>
      <c r="H14" s="132"/>
      <c r="I14" s="132"/>
      <c r="J14" s="132"/>
      <c r="K14" s="132"/>
      <c r="L14" s="132"/>
      <c r="M14" s="133"/>
      <c r="N14" s="109"/>
      <c r="O14" s="196"/>
    </row>
    <row r="15" spans="2:15" ht="15" thickBot="1">
      <c r="B15" s="193"/>
      <c r="C15" s="222" t="s">
        <v>2</v>
      </c>
      <c r="D15" s="355" t="s">
        <v>71</v>
      </c>
      <c r="E15" s="355"/>
      <c r="F15" s="356"/>
      <c r="G15" s="308" t="s">
        <v>144</v>
      </c>
      <c r="H15" s="132"/>
      <c r="I15" s="132"/>
      <c r="J15" s="132"/>
      <c r="K15" s="132"/>
      <c r="L15" s="132"/>
      <c r="M15" s="133"/>
      <c r="N15" s="109"/>
      <c r="O15" s="197"/>
    </row>
    <row r="16" spans="2:15" ht="17.25" customHeight="1" thickBot="1">
      <c r="B16" s="193"/>
      <c r="C16" s="222" t="s">
        <v>8</v>
      </c>
      <c r="D16" s="355" t="s">
        <v>102</v>
      </c>
      <c r="E16" s="355"/>
      <c r="F16" s="223"/>
      <c r="G16" s="172" t="s">
        <v>198</v>
      </c>
      <c r="H16" s="110"/>
      <c r="I16" s="110"/>
      <c r="J16" s="111"/>
      <c r="K16" s="111"/>
      <c r="L16" s="111"/>
      <c r="M16" s="111"/>
      <c r="N16" s="111"/>
      <c r="O16" s="197"/>
    </row>
    <row r="17" spans="2:15" ht="15" customHeight="1" thickBot="1">
      <c r="B17" s="193"/>
      <c r="C17" s="224" t="s">
        <v>16</v>
      </c>
      <c r="D17" s="355" t="s">
        <v>68</v>
      </c>
      <c r="E17" s="355"/>
      <c r="F17" s="356"/>
      <c r="G17" s="134">
        <v>32</v>
      </c>
      <c r="H17" s="110"/>
      <c r="I17" s="110"/>
      <c r="J17" s="111"/>
      <c r="K17" s="111"/>
      <c r="L17" s="111"/>
      <c r="M17" s="111"/>
      <c r="N17" s="111"/>
      <c r="O17" s="194"/>
    </row>
    <row r="18" spans="2:15" ht="15" thickBot="1">
      <c r="B18" s="193"/>
      <c r="C18" s="225" t="s">
        <v>27</v>
      </c>
      <c r="D18" s="353" t="s">
        <v>69</v>
      </c>
      <c r="E18" s="353"/>
      <c r="F18" s="354"/>
      <c r="G18" s="311">
        <v>162010940</v>
      </c>
      <c r="H18" s="110"/>
      <c r="I18" s="110"/>
      <c r="J18" s="111"/>
      <c r="K18" s="111"/>
      <c r="L18" s="111"/>
      <c r="M18" s="111"/>
      <c r="N18" s="111"/>
      <c r="O18" s="194"/>
    </row>
    <row r="19" spans="2:16" ht="15" customHeight="1" thickBot="1">
      <c r="B19" s="193"/>
      <c r="C19" s="225" t="s">
        <v>38</v>
      </c>
      <c r="D19" s="353" t="s">
        <v>130</v>
      </c>
      <c r="E19" s="353"/>
      <c r="F19" s="354"/>
      <c r="G19" s="173">
        <v>2017</v>
      </c>
      <c r="H19" s="110"/>
      <c r="I19" s="110"/>
      <c r="J19" s="111"/>
      <c r="K19" s="111"/>
      <c r="L19" s="111"/>
      <c r="M19" s="111"/>
      <c r="N19" s="111"/>
      <c r="O19" s="194"/>
      <c r="P19" s="198"/>
    </row>
    <row r="20" spans="2:15" ht="28.2" thickBot="1">
      <c r="B20" s="193"/>
      <c r="C20" s="226"/>
      <c r="D20" s="227"/>
      <c r="E20" s="227"/>
      <c r="F20" s="227"/>
      <c r="G20" s="358" t="s">
        <v>34</v>
      </c>
      <c r="H20" s="358"/>
      <c r="I20" s="358"/>
      <c r="J20" s="229" t="s">
        <v>35</v>
      </c>
      <c r="K20" s="230" t="s">
        <v>5</v>
      </c>
      <c r="L20" s="230" t="s">
        <v>103</v>
      </c>
      <c r="O20" s="194"/>
    </row>
    <row r="21" spans="2:15" ht="15" thickBot="1">
      <c r="B21" s="193"/>
      <c r="C21" s="226" t="s">
        <v>60</v>
      </c>
      <c r="D21" s="228" t="s">
        <v>70</v>
      </c>
      <c r="E21" s="228"/>
      <c r="F21" s="228"/>
      <c r="G21" s="135" t="s">
        <v>152</v>
      </c>
      <c r="H21" s="136"/>
      <c r="I21" s="137"/>
      <c r="J21" s="138" t="s">
        <v>163</v>
      </c>
      <c r="K21" s="138" t="s">
        <v>146</v>
      </c>
      <c r="L21" s="138">
        <v>4641</v>
      </c>
      <c r="O21" s="194"/>
    </row>
    <row r="22" spans="2:15" ht="15" thickBot="1">
      <c r="B22" s="193"/>
      <c r="C22" s="226"/>
      <c r="D22" s="228"/>
      <c r="E22" s="228"/>
      <c r="F22" s="228"/>
      <c r="G22" s="135" t="s">
        <v>153</v>
      </c>
      <c r="H22" s="136"/>
      <c r="I22" s="137"/>
      <c r="J22" s="138" t="s">
        <v>164</v>
      </c>
      <c r="K22" s="138" t="s">
        <v>146</v>
      </c>
      <c r="L22" s="138">
        <v>3641</v>
      </c>
      <c r="O22" s="194"/>
    </row>
    <row r="23" spans="2:15" ht="15" thickBot="1">
      <c r="B23" s="193"/>
      <c r="C23" s="226"/>
      <c r="D23" s="228"/>
      <c r="E23" s="228"/>
      <c r="F23" s="228"/>
      <c r="G23" s="135" t="s">
        <v>167</v>
      </c>
      <c r="H23" s="136"/>
      <c r="I23" s="137"/>
      <c r="J23" s="138" t="s">
        <v>166</v>
      </c>
      <c r="K23" s="138" t="s">
        <v>148</v>
      </c>
      <c r="L23" s="312" t="s">
        <v>154</v>
      </c>
      <c r="O23" s="194"/>
    </row>
    <row r="24" spans="2:15" ht="15" thickBot="1">
      <c r="B24" s="193"/>
      <c r="C24" s="226"/>
      <c r="D24" s="228"/>
      <c r="E24" s="228"/>
      <c r="F24" s="228"/>
      <c r="G24" s="135" t="s">
        <v>145</v>
      </c>
      <c r="H24" s="136"/>
      <c r="I24" s="137"/>
      <c r="J24" s="138" t="s">
        <v>155</v>
      </c>
      <c r="K24" s="138" t="s">
        <v>156</v>
      </c>
      <c r="L24" s="312" t="s">
        <v>154</v>
      </c>
      <c r="O24" s="194"/>
    </row>
    <row r="25" spans="2:15" ht="15" thickBot="1">
      <c r="B25" s="193"/>
      <c r="C25" s="226"/>
      <c r="D25" s="228"/>
      <c r="E25" s="228"/>
      <c r="F25" s="228"/>
      <c r="G25" s="135" t="s">
        <v>182</v>
      </c>
      <c r="H25" s="136"/>
      <c r="I25" s="137"/>
      <c r="J25" s="138" t="s">
        <v>165</v>
      </c>
      <c r="K25" s="138" t="s">
        <v>168</v>
      </c>
      <c r="L25" s="138">
        <v>1135</v>
      </c>
      <c r="O25" s="194"/>
    </row>
    <row r="26" spans="2:15" ht="15" thickBot="1">
      <c r="B26" s="193"/>
      <c r="C26" s="226"/>
      <c r="D26" s="228"/>
      <c r="E26" s="228"/>
      <c r="F26" s="228"/>
      <c r="G26" s="135" t="s">
        <v>189</v>
      </c>
      <c r="H26" s="136"/>
      <c r="I26" s="137"/>
      <c r="J26" s="138" t="s">
        <v>169</v>
      </c>
      <c r="K26" s="138" t="s">
        <v>169</v>
      </c>
      <c r="L26" s="138" t="s">
        <v>169</v>
      </c>
      <c r="O26" s="194"/>
    </row>
    <row r="27" spans="2:15" ht="14.4" hidden="1" thickBot="1">
      <c r="B27" s="193"/>
      <c r="C27" s="226"/>
      <c r="D27" s="212"/>
      <c r="E27" s="227"/>
      <c r="F27" s="227"/>
      <c r="G27" s="106"/>
      <c r="H27" s="112"/>
      <c r="I27" s="112"/>
      <c r="J27" s="114"/>
      <c r="K27" s="114"/>
      <c r="L27" s="114"/>
      <c r="M27" s="114"/>
      <c r="N27" s="114"/>
      <c r="O27" s="194"/>
    </row>
    <row r="28" spans="2:15" ht="14.4" thickBot="1">
      <c r="B28" s="193"/>
      <c r="C28" s="226"/>
      <c r="D28" s="227"/>
      <c r="E28" s="227"/>
      <c r="F28" s="227"/>
      <c r="G28" s="112"/>
      <c r="H28" s="112"/>
      <c r="I28" s="112"/>
      <c r="J28" s="114"/>
      <c r="K28" s="114"/>
      <c r="L28" s="114"/>
      <c r="M28" s="114"/>
      <c r="N28" s="114"/>
      <c r="O28" s="194"/>
    </row>
    <row r="29" spans="2:15" ht="15" thickBot="1">
      <c r="B29" s="193"/>
      <c r="C29" s="226" t="s">
        <v>61</v>
      </c>
      <c r="D29" s="228" t="s">
        <v>101</v>
      </c>
      <c r="E29" s="227"/>
      <c r="F29" s="227"/>
      <c r="G29" s="171" t="s">
        <v>173</v>
      </c>
      <c r="H29" s="171" t="s">
        <v>171</v>
      </c>
      <c r="I29" s="171" t="s">
        <v>172</v>
      </c>
      <c r="J29" s="309"/>
      <c r="M29" s="114"/>
      <c r="N29" s="114"/>
      <c r="O29" s="194"/>
    </row>
    <row r="30" spans="2:15" ht="15" thickBot="1">
      <c r="B30" s="193"/>
      <c r="C30" s="112"/>
      <c r="D30" s="115"/>
      <c r="E30" s="113"/>
      <c r="F30" s="113"/>
      <c r="G30" s="139" t="s">
        <v>147</v>
      </c>
      <c r="H30" s="139">
        <v>1127199</v>
      </c>
      <c r="I30" s="139">
        <v>1131130</v>
      </c>
      <c r="M30" s="114"/>
      <c r="N30" s="114"/>
      <c r="O30" s="194"/>
    </row>
    <row r="31" spans="2:15" ht="15" thickBot="1">
      <c r="B31" s="193"/>
      <c r="C31" s="112"/>
      <c r="D31" s="115"/>
      <c r="E31" s="113"/>
      <c r="F31" s="113"/>
      <c r="G31" s="113"/>
      <c r="H31" s="113"/>
      <c r="I31" s="199" t="s">
        <v>48</v>
      </c>
      <c r="J31" s="199" t="s">
        <v>50</v>
      </c>
      <c r="K31" s="289"/>
      <c r="L31" s="289"/>
      <c r="M31" s="114"/>
      <c r="N31" s="114"/>
      <c r="O31" s="194"/>
    </row>
    <row r="32" spans="2:15" ht="13.8" thickBot="1">
      <c r="B32" s="200"/>
      <c r="C32" s="116"/>
      <c r="D32" s="116"/>
      <c r="E32" s="116"/>
      <c r="F32" s="116"/>
      <c r="G32" s="116"/>
      <c r="H32" s="116"/>
      <c r="I32" s="116"/>
      <c r="J32" s="117"/>
      <c r="K32" s="117"/>
      <c r="L32" s="117"/>
      <c r="M32" s="117"/>
      <c r="N32" s="117"/>
      <c r="O32" s="201"/>
    </row>
    <row r="33" spans="2:15" ht="14.4" thickBot="1" thickTop="1">
      <c r="B33" s="109"/>
      <c r="C33" s="118"/>
      <c r="D33" s="118"/>
      <c r="E33" s="118"/>
      <c r="F33" s="118"/>
      <c r="G33" s="118"/>
      <c r="H33" s="118"/>
      <c r="I33" s="118"/>
      <c r="J33" s="109"/>
      <c r="K33" s="109"/>
      <c r="L33" s="109"/>
      <c r="M33" s="109"/>
      <c r="N33" s="109"/>
      <c r="O33" s="109"/>
    </row>
    <row r="34" spans="2:15" ht="18" thickTop="1">
      <c r="B34" s="191"/>
      <c r="C34" s="119" t="s">
        <v>91</v>
      </c>
      <c r="D34" s="120"/>
      <c r="E34" s="120"/>
      <c r="F34" s="120"/>
      <c r="G34" s="120"/>
      <c r="H34" s="120"/>
      <c r="I34" s="120"/>
      <c r="J34" s="108"/>
      <c r="K34" s="108"/>
      <c r="L34" s="108"/>
      <c r="M34" s="108"/>
      <c r="N34" s="108"/>
      <c r="O34" s="192"/>
    </row>
    <row r="35" spans="2:15" ht="6.75" customHeight="1">
      <c r="B35" s="193"/>
      <c r="C35" s="118"/>
      <c r="D35" s="118"/>
      <c r="E35" s="118"/>
      <c r="F35" s="118"/>
      <c r="G35" s="118"/>
      <c r="H35" s="118"/>
      <c r="I35" s="118"/>
      <c r="J35" s="109"/>
      <c r="K35" s="109"/>
      <c r="L35" s="109"/>
      <c r="M35" s="109"/>
      <c r="N35" s="109"/>
      <c r="O35" s="194"/>
    </row>
    <row r="36" spans="2:15" ht="117.9" customHeight="1">
      <c r="B36" s="193"/>
      <c r="C36" s="351" t="s">
        <v>122</v>
      </c>
      <c r="D36" s="351"/>
      <c r="E36" s="351"/>
      <c r="F36" s="351"/>
      <c r="G36" s="351"/>
      <c r="H36" s="351"/>
      <c r="I36" s="351"/>
      <c r="J36" s="351"/>
      <c r="K36" s="351"/>
      <c r="L36" s="351"/>
      <c r="M36" s="351"/>
      <c r="N36" s="167"/>
      <c r="O36" s="194"/>
    </row>
    <row r="37" spans="2:15" ht="16.5" customHeight="1" thickBot="1">
      <c r="B37" s="193"/>
      <c r="C37" s="219" t="s">
        <v>62</v>
      </c>
      <c r="D37" s="219" t="s">
        <v>63</v>
      </c>
      <c r="E37" s="219"/>
      <c r="F37" s="219"/>
      <c r="G37" s="219" t="s">
        <v>64</v>
      </c>
      <c r="H37" s="231"/>
      <c r="I37" s="231"/>
      <c r="J37" s="231"/>
      <c r="K37" s="231"/>
      <c r="L37" s="231"/>
      <c r="M37" s="231"/>
      <c r="N37" s="109"/>
      <c r="O37" s="194"/>
    </row>
    <row r="38" spans="2:15" ht="6.75" customHeight="1" thickBot="1" thickTop="1">
      <c r="B38" s="193"/>
      <c r="C38" s="112"/>
      <c r="D38" s="121"/>
      <c r="E38" s="121"/>
      <c r="F38" s="121"/>
      <c r="G38" s="112"/>
      <c r="H38" s="112"/>
      <c r="I38" s="112"/>
      <c r="J38" s="114"/>
      <c r="K38" s="114"/>
      <c r="L38" s="114"/>
      <c r="M38" s="114"/>
      <c r="N38" s="114"/>
      <c r="O38" s="194"/>
    </row>
    <row r="39" spans="2:15" ht="31.5" customHeight="1" thickBot="1">
      <c r="B39" s="193"/>
      <c r="C39" s="300" t="s">
        <v>133</v>
      </c>
      <c r="D39" s="394" t="s">
        <v>134</v>
      </c>
      <c r="E39" s="394"/>
      <c r="F39" s="394"/>
      <c r="G39" s="179" t="s">
        <v>44</v>
      </c>
      <c r="H39" s="112"/>
      <c r="I39" s="112"/>
      <c r="J39" s="114"/>
      <c r="K39" s="114"/>
      <c r="L39" s="114"/>
      <c r="M39" s="114"/>
      <c r="N39" s="114"/>
      <c r="O39" s="194"/>
    </row>
    <row r="40" spans="2:15" ht="28.65" customHeight="1" thickBot="1">
      <c r="B40" s="193"/>
      <c r="C40" s="232" t="s">
        <v>36</v>
      </c>
      <c r="D40" s="362" t="s">
        <v>76</v>
      </c>
      <c r="E40" s="362"/>
      <c r="F40" s="363"/>
      <c r="G40" s="280"/>
      <c r="H40" s="112"/>
      <c r="I40" s="112"/>
      <c r="J40" s="114"/>
      <c r="K40" s="114"/>
      <c r="L40" s="114"/>
      <c r="M40" s="114"/>
      <c r="N40" s="114"/>
      <c r="O40" s="194"/>
    </row>
    <row r="41" spans="2:15" ht="27.15" customHeight="1" thickBot="1">
      <c r="B41" s="193"/>
      <c r="C41" s="232" t="s">
        <v>37</v>
      </c>
      <c r="D41" s="362" t="s">
        <v>77</v>
      </c>
      <c r="E41" s="362"/>
      <c r="F41" s="363"/>
      <c r="G41" s="280"/>
      <c r="H41" s="112"/>
      <c r="I41" s="112"/>
      <c r="J41" s="114"/>
      <c r="K41" s="114"/>
      <c r="L41" s="114"/>
      <c r="M41" s="114"/>
      <c r="N41" s="114"/>
      <c r="O41" s="194"/>
    </row>
    <row r="42" spans="2:15" ht="12.75" customHeight="1" thickBot="1">
      <c r="B42" s="193"/>
      <c r="C42" s="107"/>
      <c r="D42" s="165"/>
      <c r="E42" s="165"/>
      <c r="F42" s="165"/>
      <c r="G42" s="165"/>
      <c r="H42" s="112"/>
      <c r="I42" s="112"/>
      <c r="J42" s="114"/>
      <c r="K42" s="114"/>
      <c r="L42" s="114"/>
      <c r="M42" s="114"/>
      <c r="N42" s="114"/>
      <c r="O42" s="194"/>
    </row>
    <row r="43" spans="2:15" ht="42" customHeight="1" thickBot="1">
      <c r="B43" s="193"/>
      <c r="C43" s="232" t="s">
        <v>118</v>
      </c>
      <c r="D43" s="364" t="s">
        <v>175</v>
      </c>
      <c r="E43" s="365"/>
      <c r="F43" s="365"/>
      <c r="G43" s="365"/>
      <c r="H43" s="365"/>
      <c r="I43" s="366"/>
      <c r="J43" s="114"/>
      <c r="K43" s="114"/>
      <c r="L43" s="114"/>
      <c r="M43" s="114"/>
      <c r="N43" s="114"/>
      <c r="O43" s="194"/>
    </row>
    <row r="44" spans="2:15" ht="13.8" thickBot="1">
      <c r="B44" s="200"/>
      <c r="C44" s="116"/>
      <c r="D44" s="116"/>
      <c r="E44" s="116"/>
      <c r="F44" s="116"/>
      <c r="G44" s="116"/>
      <c r="H44" s="116"/>
      <c r="I44" s="116"/>
      <c r="J44" s="117"/>
      <c r="K44" s="117"/>
      <c r="L44" s="117"/>
      <c r="M44" s="117"/>
      <c r="N44" s="117"/>
      <c r="O44" s="201"/>
    </row>
    <row r="45" spans="2:15" ht="14.4" thickBot="1" thickTop="1">
      <c r="B45" s="109"/>
      <c r="C45" s="118"/>
      <c r="D45" s="118"/>
      <c r="E45" s="118"/>
      <c r="F45" s="118"/>
      <c r="G45" s="118"/>
      <c r="H45" s="118"/>
      <c r="I45" s="118"/>
      <c r="J45" s="109"/>
      <c r="K45" s="109"/>
      <c r="L45" s="109"/>
      <c r="M45" s="109"/>
      <c r="N45" s="109"/>
      <c r="O45" s="109"/>
    </row>
    <row r="46" spans="2:15" ht="18" thickTop="1">
      <c r="B46" s="191"/>
      <c r="C46" s="233" t="s">
        <v>92</v>
      </c>
      <c r="D46" s="234"/>
      <c r="E46" s="234"/>
      <c r="F46" s="234"/>
      <c r="G46" s="234"/>
      <c r="H46" s="234"/>
      <c r="I46" s="234"/>
      <c r="J46" s="217"/>
      <c r="K46" s="217"/>
      <c r="L46" s="217"/>
      <c r="M46" s="217"/>
      <c r="N46" s="108"/>
      <c r="O46" s="192"/>
    </row>
    <row r="47" spans="2:15" ht="11.25" customHeight="1">
      <c r="B47" s="193"/>
      <c r="C47" s="235"/>
      <c r="D47" s="236"/>
      <c r="E47" s="236"/>
      <c r="F47" s="236"/>
      <c r="G47" s="236"/>
      <c r="H47" s="236"/>
      <c r="I47" s="236"/>
      <c r="J47" s="218"/>
      <c r="K47" s="218"/>
      <c r="L47" s="218"/>
      <c r="M47" s="218"/>
      <c r="N47" s="109"/>
      <c r="O47" s="194"/>
    </row>
    <row r="48" spans="2:15" ht="196.5" customHeight="1" thickBot="1">
      <c r="B48" s="193"/>
      <c r="C48" s="367" t="s">
        <v>98</v>
      </c>
      <c r="D48" s="367"/>
      <c r="E48" s="367"/>
      <c r="F48" s="367"/>
      <c r="G48" s="367"/>
      <c r="H48" s="367"/>
      <c r="I48" s="367"/>
      <c r="J48" s="367"/>
      <c r="K48" s="367"/>
      <c r="L48" s="367"/>
      <c r="M48" s="367"/>
      <c r="N48" s="174"/>
      <c r="O48" s="194"/>
    </row>
    <row r="49" spans="2:22" ht="15" thickTop="1">
      <c r="B49" s="193"/>
      <c r="C49" s="123"/>
      <c r="D49" s="124" t="s">
        <v>50</v>
      </c>
      <c r="E49" s="123"/>
      <c r="F49" s="123"/>
      <c r="G49" s="123"/>
      <c r="H49" s="123"/>
      <c r="I49" s="123"/>
      <c r="J49" s="123"/>
      <c r="K49" s="123"/>
      <c r="L49" s="123"/>
      <c r="M49" s="123"/>
      <c r="N49" s="123"/>
      <c r="O49" s="202"/>
      <c r="P49" s="203"/>
      <c r="Q49" s="203"/>
      <c r="R49" s="203"/>
      <c r="S49" s="203"/>
      <c r="T49" s="204"/>
      <c r="U49" s="204"/>
      <c r="V49" s="204"/>
    </row>
    <row r="50" spans="2:15" ht="15.6">
      <c r="B50" s="193"/>
      <c r="C50" s="237" t="s">
        <v>94</v>
      </c>
      <c r="D50" s="109"/>
      <c r="E50" s="109"/>
      <c r="F50" s="109"/>
      <c r="G50" s="118"/>
      <c r="H50" s="118"/>
      <c r="I50" s="118"/>
      <c r="J50" s="109"/>
      <c r="K50" s="109"/>
      <c r="L50" s="109"/>
      <c r="M50" s="109"/>
      <c r="N50" s="109"/>
      <c r="O50" s="194"/>
    </row>
    <row r="51" spans="2:15" ht="8.25" customHeight="1" thickBot="1">
      <c r="B51" s="193"/>
      <c r="C51" s="238"/>
      <c r="D51" s="109"/>
      <c r="E51" s="109"/>
      <c r="F51" s="109"/>
      <c r="G51" s="118"/>
      <c r="H51" s="118"/>
      <c r="I51" s="118"/>
      <c r="J51" s="109"/>
      <c r="K51" s="109"/>
      <c r="L51" s="109"/>
      <c r="M51" s="109"/>
      <c r="N51" s="109"/>
      <c r="O51" s="194"/>
    </row>
    <row r="52" spans="2:15" ht="28.2" thickBot="1">
      <c r="B52" s="193"/>
      <c r="C52" s="239" t="s">
        <v>78</v>
      </c>
      <c r="D52" s="179" t="s">
        <v>44</v>
      </c>
      <c r="E52" s="239" t="s">
        <v>80</v>
      </c>
      <c r="F52" s="140"/>
      <c r="G52" s="114"/>
      <c r="I52" s="112"/>
      <c r="J52" s="114"/>
      <c r="K52" s="114"/>
      <c r="L52" s="114"/>
      <c r="O52" s="194"/>
    </row>
    <row r="53" spans="2:15" ht="14.4" thickBot="1">
      <c r="B53" s="193"/>
      <c r="C53" s="240"/>
      <c r="D53" s="114"/>
      <c r="E53" s="242"/>
      <c r="F53" s="114"/>
      <c r="G53" s="112"/>
      <c r="H53" s="112"/>
      <c r="I53" s="112"/>
      <c r="J53" s="114"/>
      <c r="K53" s="114"/>
      <c r="L53" s="114"/>
      <c r="M53" s="114"/>
      <c r="N53" s="114"/>
      <c r="O53" s="194"/>
    </row>
    <row r="54" spans="2:15" ht="28.2" thickBot="1">
      <c r="B54" s="193"/>
      <c r="C54" s="239" t="s">
        <v>79</v>
      </c>
      <c r="D54" s="179" t="s">
        <v>44</v>
      </c>
      <c r="E54" s="239" t="s">
        <v>81</v>
      </c>
      <c r="F54" s="140"/>
      <c r="G54" s="114"/>
      <c r="H54" s="112"/>
      <c r="I54" s="112"/>
      <c r="J54" s="114"/>
      <c r="K54" s="114"/>
      <c r="L54" s="114"/>
      <c r="M54" s="114"/>
      <c r="N54" s="114"/>
      <c r="O54" s="194"/>
    </row>
    <row r="55" spans="2:15" ht="15" customHeight="1">
      <c r="B55" s="193"/>
      <c r="C55" s="240"/>
      <c r="D55" s="114"/>
      <c r="E55" s="114"/>
      <c r="F55" s="114"/>
      <c r="G55" s="112"/>
      <c r="H55" s="112"/>
      <c r="I55" s="112"/>
      <c r="J55" s="114"/>
      <c r="K55" s="114"/>
      <c r="L55" s="114"/>
      <c r="M55" s="114"/>
      <c r="N55" s="114"/>
      <c r="O55" s="194"/>
    </row>
    <row r="56" spans="2:15" ht="14.4">
      <c r="B56" s="193"/>
      <c r="C56" s="228" t="s">
        <v>82</v>
      </c>
      <c r="D56" s="112"/>
      <c r="E56" s="112"/>
      <c r="F56" s="112"/>
      <c r="G56" s="112"/>
      <c r="H56" s="112"/>
      <c r="I56" s="112"/>
      <c r="J56" s="112"/>
      <c r="K56" s="112"/>
      <c r="L56" s="112"/>
      <c r="M56" s="112"/>
      <c r="N56" s="112"/>
      <c r="O56" s="194"/>
    </row>
    <row r="57" spans="2:15" ht="41.25" customHeight="1" thickBot="1">
      <c r="B57" s="193"/>
      <c r="C57" s="241" t="s">
        <v>34</v>
      </c>
      <c r="D57" s="243" t="s">
        <v>39</v>
      </c>
      <c r="E57" s="368" t="s">
        <v>20</v>
      </c>
      <c r="F57" s="368"/>
      <c r="G57" s="244">
        <f>G19</f>
        <v>2017</v>
      </c>
      <c r="H57" s="245">
        <f>G57+1</f>
        <v>2018</v>
      </c>
      <c r="I57" s="245">
        <f>H57+1</f>
        <v>2019</v>
      </c>
      <c r="J57" s="245">
        <f>I57+1</f>
        <v>2020</v>
      </c>
      <c r="K57" s="245">
        <f>J57+1</f>
        <v>2021</v>
      </c>
      <c r="L57" s="245">
        <f>K57+1</f>
        <v>2022</v>
      </c>
      <c r="M57" s="246" t="s">
        <v>41</v>
      </c>
      <c r="N57" s="246" t="str">
        <f>CONCATENATE("Sum of Revenues Prior to ",G$19)</f>
        <v>Sum of Revenues Prior to 2017</v>
      </c>
      <c r="O57" s="194"/>
    </row>
    <row r="58" spans="2:15" ht="14.4" thickBot="1">
      <c r="B58" s="193"/>
      <c r="C58" s="149" t="s">
        <v>189</v>
      </c>
      <c r="D58" s="150" t="s">
        <v>50</v>
      </c>
      <c r="E58" s="369" t="s">
        <v>170</v>
      </c>
      <c r="F58" s="370"/>
      <c r="G58" s="143"/>
      <c r="H58" s="143"/>
      <c r="I58" s="143"/>
      <c r="J58" s="143"/>
      <c r="K58" s="143"/>
      <c r="L58" s="143"/>
      <c r="M58" s="143"/>
      <c r="N58" s="143"/>
      <c r="O58" s="194"/>
    </row>
    <row r="59" spans="2:15" ht="14.4" thickBot="1">
      <c r="B59" s="193"/>
      <c r="C59" s="149" t="s">
        <v>167</v>
      </c>
      <c r="D59" s="150" t="s">
        <v>50</v>
      </c>
      <c r="E59" s="141" t="s">
        <v>158</v>
      </c>
      <c r="F59" s="142"/>
      <c r="G59" s="143">
        <f aca="true" t="shared" si="0" ref="G59">G60/6</f>
        <v>80833.33333333333</v>
      </c>
      <c r="H59" s="143">
        <f>H60/6</f>
        <v>428000</v>
      </c>
      <c r="I59" s="143">
        <f>I60/6</f>
        <v>532666.6666666666</v>
      </c>
      <c r="J59" s="143">
        <f>J60/6</f>
        <v>277333.3333333333</v>
      </c>
      <c r="K59" s="143">
        <f>K60/6</f>
        <v>101666.66666666667</v>
      </c>
      <c r="L59" s="143">
        <f>L60/6</f>
        <v>0</v>
      </c>
      <c r="M59" s="144"/>
      <c r="N59" s="177"/>
      <c r="O59" s="194"/>
    </row>
    <row r="60" spans="2:15" ht="14.4" thickBot="1">
      <c r="B60" s="193"/>
      <c r="C60" s="149" t="s">
        <v>152</v>
      </c>
      <c r="D60" s="150" t="s">
        <v>50</v>
      </c>
      <c r="E60" s="141" t="s">
        <v>159</v>
      </c>
      <c r="F60" s="142"/>
      <c r="G60" s="143">
        <v>485000</v>
      </c>
      <c r="H60" s="143">
        <v>2568000</v>
      </c>
      <c r="I60" s="144">
        <v>3196000</v>
      </c>
      <c r="J60" s="144">
        <v>1664000</v>
      </c>
      <c r="K60" s="144">
        <v>610000</v>
      </c>
      <c r="L60" s="144"/>
      <c r="M60" s="144"/>
      <c r="N60" s="177"/>
      <c r="O60" s="194"/>
    </row>
    <row r="61" spans="2:15" ht="14.4" thickBot="1">
      <c r="B61" s="193"/>
      <c r="C61" s="149" t="s">
        <v>153</v>
      </c>
      <c r="D61" s="150" t="s">
        <v>50</v>
      </c>
      <c r="E61" s="141" t="s">
        <v>157</v>
      </c>
      <c r="F61" s="142"/>
      <c r="G61" s="143">
        <v>20000000</v>
      </c>
      <c r="H61" s="143">
        <v>1410109</v>
      </c>
      <c r="I61" s="143">
        <v>1410109</v>
      </c>
      <c r="J61" s="143">
        <v>1410109</v>
      </c>
      <c r="K61" s="143">
        <v>1410109</v>
      </c>
      <c r="L61" s="143">
        <v>1410109</v>
      </c>
      <c r="M61" s="144">
        <v>248300000</v>
      </c>
      <c r="N61" s="177"/>
      <c r="O61" s="194"/>
    </row>
    <row r="62" spans="2:15" ht="14.4" thickBot="1">
      <c r="B62" s="193"/>
      <c r="C62" s="149" t="s">
        <v>145</v>
      </c>
      <c r="D62" s="150" t="s">
        <v>50</v>
      </c>
      <c r="E62" s="141" t="s">
        <v>157</v>
      </c>
      <c r="F62" s="142"/>
      <c r="G62" s="143">
        <v>403000</v>
      </c>
      <c r="H62" s="143">
        <v>0</v>
      </c>
      <c r="I62" s="144">
        <v>0</v>
      </c>
      <c r="J62" s="144">
        <v>0</v>
      </c>
      <c r="K62" s="144">
        <v>0</v>
      </c>
      <c r="L62" s="144">
        <v>0</v>
      </c>
      <c r="M62" s="144"/>
      <c r="N62" s="177"/>
      <c r="O62" s="194"/>
    </row>
    <row r="63" spans="2:15" ht="14.4" thickBot="1">
      <c r="B63" s="193"/>
      <c r="C63" s="149" t="s">
        <v>182</v>
      </c>
      <c r="D63" s="150" t="s">
        <v>50</v>
      </c>
      <c r="E63" s="141" t="s">
        <v>162</v>
      </c>
      <c r="F63" s="142"/>
      <c r="G63" s="143">
        <f aca="true" t="shared" si="1" ref="G63:L63">G60/9</f>
        <v>53888.88888888889</v>
      </c>
      <c r="H63" s="143">
        <f t="shared" si="1"/>
        <v>285333.3333333333</v>
      </c>
      <c r="I63" s="143">
        <f t="shared" si="1"/>
        <v>355111.1111111111</v>
      </c>
      <c r="J63" s="143">
        <f t="shared" si="1"/>
        <v>184888.88888888888</v>
      </c>
      <c r="K63" s="143">
        <f t="shared" si="1"/>
        <v>67777.77777777778</v>
      </c>
      <c r="L63" s="143">
        <f t="shared" si="1"/>
        <v>0</v>
      </c>
      <c r="M63" s="144"/>
      <c r="N63" s="177"/>
      <c r="O63" s="194"/>
    </row>
    <row r="64" spans="2:15" ht="13.8" thickBot="1">
      <c r="B64" s="193"/>
      <c r="C64" s="129"/>
      <c r="D64" s="129"/>
      <c r="E64" s="129"/>
      <c r="F64" s="129"/>
      <c r="G64" s="129"/>
      <c r="H64" s="129"/>
      <c r="I64" s="129"/>
      <c r="J64" s="130"/>
      <c r="K64" s="117"/>
      <c r="L64" s="117"/>
      <c r="M64" s="130"/>
      <c r="N64" s="109"/>
      <c r="O64" s="194"/>
    </row>
    <row r="65" spans="2:15" ht="13.8" thickTop="1">
      <c r="B65" s="193"/>
      <c r="C65" s="118"/>
      <c r="D65" s="118"/>
      <c r="E65" s="118"/>
      <c r="F65" s="118"/>
      <c r="G65" s="118"/>
      <c r="H65" s="118"/>
      <c r="I65" s="118"/>
      <c r="J65" s="109"/>
      <c r="K65" s="109"/>
      <c r="L65" s="109"/>
      <c r="M65" s="109"/>
      <c r="N65" s="109"/>
      <c r="O65" s="194"/>
    </row>
    <row r="66" spans="2:15" ht="15.6">
      <c r="B66" s="193"/>
      <c r="C66" s="237" t="s">
        <v>93</v>
      </c>
      <c r="D66" s="236"/>
      <c r="E66" s="236"/>
      <c r="F66" s="236"/>
      <c r="G66" s="236"/>
      <c r="H66" s="236"/>
      <c r="I66" s="236"/>
      <c r="J66" s="218"/>
      <c r="K66" s="218"/>
      <c r="L66" s="218"/>
      <c r="M66" s="218"/>
      <c r="N66" s="109"/>
      <c r="O66" s="194"/>
    </row>
    <row r="67" spans="2:15" ht="7.5" customHeight="1">
      <c r="B67" s="193"/>
      <c r="C67" s="237"/>
      <c r="D67" s="236"/>
      <c r="E67" s="236"/>
      <c r="F67" s="236"/>
      <c r="G67" s="236"/>
      <c r="H67" s="236"/>
      <c r="I67" s="236"/>
      <c r="J67" s="218"/>
      <c r="K67" s="218"/>
      <c r="L67" s="218"/>
      <c r="M67" s="218"/>
      <c r="N67" s="109"/>
      <c r="O67" s="194"/>
    </row>
    <row r="68" spans="2:35" ht="15" customHeight="1">
      <c r="B68" s="193"/>
      <c r="C68" s="371" t="s">
        <v>83</v>
      </c>
      <c r="D68" s="372"/>
      <c r="E68" s="372"/>
      <c r="F68" s="372"/>
      <c r="G68" s="372"/>
      <c r="H68" s="372"/>
      <c r="I68" s="372"/>
      <c r="J68" s="372"/>
      <c r="K68" s="372"/>
      <c r="L68" s="372"/>
      <c r="M68" s="372"/>
      <c r="N68" s="168"/>
      <c r="O68" s="205"/>
      <c r="P68" s="206"/>
      <c r="Q68" s="206"/>
      <c r="R68" s="206"/>
      <c r="S68" s="206"/>
      <c r="T68" s="109"/>
      <c r="U68" s="109"/>
      <c r="V68" s="109"/>
      <c r="W68" s="109"/>
      <c r="X68" s="109"/>
      <c r="Y68" s="109"/>
      <c r="Z68" s="109"/>
      <c r="AA68" s="109"/>
      <c r="AB68" s="109"/>
      <c r="AC68" s="109"/>
      <c r="AD68" s="109"/>
      <c r="AE68" s="109"/>
      <c r="AF68" s="109"/>
      <c r="AG68" s="109"/>
      <c r="AH68" s="109"/>
      <c r="AI68" s="109"/>
    </row>
    <row r="69" spans="2:15" ht="9.15" customHeight="1">
      <c r="B69" s="193"/>
      <c r="C69" s="373"/>
      <c r="D69" s="373"/>
      <c r="E69" s="373"/>
      <c r="F69" s="373"/>
      <c r="G69" s="247"/>
      <c r="H69" s="247"/>
      <c r="I69" s="247"/>
      <c r="J69" s="248"/>
      <c r="K69" s="248"/>
      <c r="L69" s="248"/>
      <c r="M69" s="248"/>
      <c r="N69" s="125"/>
      <c r="O69" s="194"/>
    </row>
    <row r="70" spans="2:15" ht="19.5" customHeight="1">
      <c r="B70" s="193"/>
      <c r="C70" s="249" t="s">
        <v>65</v>
      </c>
      <c r="D70" s="250"/>
      <c r="E70" s="250"/>
      <c r="F70" s="250"/>
      <c r="G70" s="247"/>
      <c r="H70" s="247"/>
      <c r="I70" s="247"/>
      <c r="J70" s="248"/>
      <c r="K70" s="248"/>
      <c r="L70" s="248"/>
      <c r="M70" s="248"/>
      <c r="N70" s="125"/>
      <c r="O70" s="194"/>
    </row>
    <row r="71" spans="2:15" ht="13.5" customHeight="1">
      <c r="B71" s="193"/>
      <c r="C71" s="251" t="s">
        <v>21</v>
      </c>
      <c r="D71" s="252"/>
      <c r="E71" s="362" t="s">
        <v>84</v>
      </c>
      <c r="F71" s="362"/>
      <c r="G71" s="362"/>
      <c r="H71" s="362"/>
      <c r="I71" s="362"/>
      <c r="J71" s="362"/>
      <c r="K71" s="362"/>
      <c r="L71" s="362"/>
      <c r="M71" s="362"/>
      <c r="N71" s="165"/>
      <c r="O71" s="194"/>
    </row>
    <row r="72" spans="2:15" ht="13.5" customHeight="1">
      <c r="B72" s="193"/>
      <c r="C72" s="251" t="s">
        <v>25</v>
      </c>
      <c r="D72" s="252"/>
      <c r="E72" s="360" t="s">
        <v>85</v>
      </c>
      <c r="F72" s="360"/>
      <c r="G72" s="360"/>
      <c r="H72" s="360"/>
      <c r="I72" s="360"/>
      <c r="J72" s="360"/>
      <c r="K72" s="360"/>
      <c r="L72" s="360"/>
      <c r="M72" s="360"/>
      <c r="N72" s="166"/>
      <c r="O72" s="194"/>
    </row>
    <row r="73" spans="2:15" ht="14.4">
      <c r="B73" s="193"/>
      <c r="C73" s="251" t="s">
        <v>53</v>
      </c>
      <c r="D73" s="252"/>
      <c r="E73" s="360" t="s">
        <v>86</v>
      </c>
      <c r="F73" s="361"/>
      <c r="G73" s="361"/>
      <c r="H73" s="361"/>
      <c r="I73" s="361"/>
      <c r="J73" s="361"/>
      <c r="K73" s="361"/>
      <c r="L73" s="361"/>
      <c r="M73" s="361"/>
      <c r="N73" s="164"/>
      <c r="O73" s="194"/>
    </row>
    <row r="74" spans="2:15" ht="14.4">
      <c r="B74" s="193"/>
      <c r="C74" s="359" t="s">
        <v>55</v>
      </c>
      <c r="D74" s="359"/>
      <c r="E74" s="360" t="s">
        <v>87</v>
      </c>
      <c r="F74" s="361"/>
      <c r="G74" s="361"/>
      <c r="H74" s="361"/>
      <c r="I74" s="361"/>
      <c r="J74" s="361"/>
      <c r="K74" s="361"/>
      <c r="L74" s="361"/>
      <c r="M74" s="361"/>
      <c r="N74" s="164"/>
      <c r="O74" s="194"/>
    </row>
    <row r="75" spans="2:15" ht="14.25" customHeight="1">
      <c r="B75" s="193"/>
      <c r="C75" s="374" t="s">
        <v>56</v>
      </c>
      <c r="D75" s="374"/>
      <c r="E75" s="360" t="s">
        <v>88</v>
      </c>
      <c r="F75" s="360"/>
      <c r="G75" s="360"/>
      <c r="H75" s="360"/>
      <c r="I75" s="360"/>
      <c r="J75" s="360"/>
      <c r="K75" s="360"/>
      <c r="L75" s="360"/>
      <c r="M75" s="360"/>
      <c r="N75" s="166"/>
      <c r="O75" s="194"/>
    </row>
    <row r="76" spans="2:15" ht="14.4">
      <c r="B76" s="193"/>
      <c r="C76" s="359" t="s">
        <v>57</v>
      </c>
      <c r="D76" s="359"/>
      <c r="E76" s="360"/>
      <c r="F76" s="361"/>
      <c r="G76" s="361"/>
      <c r="H76" s="361"/>
      <c r="I76" s="361"/>
      <c r="J76" s="361"/>
      <c r="K76" s="361"/>
      <c r="L76" s="361"/>
      <c r="M76" s="361"/>
      <c r="N76" s="164"/>
      <c r="O76" s="194"/>
    </row>
    <row r="77" spans="2:15" ht="15" customHeight="1">
      <c r="B77" s="193"/>
      <c r="C77" s="375" t="s">
        <v>26</v>
      </c>
      <c r="D77" s="375"/>
      <c r="E77" s="360" t="s">
        <v>89</v>
      </c>
      <c r="F77" s="361"/>
      <c r="G77" s="361"/>
      <c r="H77" s="361"/>
      <c r="I77" s="361"/>
      <c r="J77" s="361"/>
      <c r="K77" s="361"/>
      <c r="L77" s="361"/>
      <c r="M77" s="361"/>
      <c r="N77" s="164"/>
      <c r="O77" s="194"/>
    </row>
    <row r="78" spans="2:15" ht="14.4">
      <c r="B78" s="193"/>
      <c r="C78" s="250"/>
      <c r="D78" s="250"/>
      <c r="E78" s="253"/>
      <c r="F78" s="253"/>
      <c r="G78" s="227"/>
      <c r="H78" s="227"/>
      <c r="I78" s="227"/>
      <c r="J78" s="254"/>
      <c r="K78" s="254"/>
      <c r="L78" s="254"/>
      <c r="M78" s="254"/>
      <c r="N78" s="126"/>
      <c r="O78" s="194"/>
    </row>
    <row r="79" spans="2:15" ht="14.4" thickBot="1">
      <c r="B79" s="193"/>
      <c r="C79" s="255" t="s">
        <v>42</v>
      </c>
      <c r="D79" s="114"/>
      <c r="E79" s="114"/>
      <c r="F79" s="114"/>
      <c r="G79" s="112"/>
      <c r="H79" s="112"/>
      <c r="I79" s="112"/>
      <c r="J79" s="114"/>
      <c r="K79" s="114"/>
      <c r="L79" s="114"/>
      <c r="M79" s="114"/>
      <c r="N79" s="114"/>
      <c r="O79" s="194"/>
    </row>
    <row r="80" spans="2:15" ht="14.4" thickBot="1">
      <c r="B80" s="193"/>
      <c r="C80" s="226" t="s">
        <v>18</v>
      </c>
      <c r="D80" s="114"/>
      <c r="E80" s="148" t="s">
        <v>153</v>
      </c>
      <c r="F80" s="114"/>
      <c r="G80" s="226" t="s">
        <v>11</v>
      </c>
      <c r="H80" s="112"/>
      <c r="I80" s="151" t="s">
        <v>173</v>
      </c>
      <c r="J80" s="114"/>
      <c r="K80" s="114"/>
      <c r="L80" s="114"/>
      <c r="M80" s="114"/>
      <c r="N80" s="114"/>
      <c r="O80" s="194"/>
    </row>
    <row r="81" spans="2:15" ht="42" thickBot="1">
      <c r="B81" s="193"/>
      <c r="C81" s="378" t="s">
        <v>40</v>
      </c>
      <c r="D81" s="378"/>
      <c r="E81" s="379" t="s">
        <v>22</v>
      </c>
      <c r="F81" s="379"/>
      <c r="G81" s="244">
        <f>$G$57</f>
        <v>2017</v>
      </c>
      <c r="H81" s="245">
        <f>G81+1</f>
        <v>2018</v>
      </c>
      <c r="I81" s="245">
        <f>H81+1</f>
        <v>2019</v>
      </c>
      <c r="J81" s="245">
        <f>I81+1</f>
        <v>2020</v>
      </c>
      <c r="K81" s="245">
        <f>J81+1</f>
        <v>2021</v>
      </c>
      <c r="L81" s="245">
        <f>K81+1</f>
        <v>2022</v>
      </c>
      <c r="M81" s="246" t="s">
        <v>41</v>
      </c>
      <c r="N81" s="246" t="str">
        <f>CONCATENATE("Sum of Expenditures Prior to ",G$19)</f>
        <v>Sum of Expenditures Prior to 2017</v>
      </c>
      <c r="O81" s="194"/>
    </row>
    <row r="82" spans="2:15" ht="14.4" thickBot="1">
      <c r="B82" s="193"/>
      <c r="C82" s="256" t="s">
        <v>21</v>
      </c>
      <c r="D82" s="257"/>
      <c r="E82" s="145"/>
      <c r="F82" s="146"/>
      <c r="G82" s="147"/>
      <c r="H82" s="143"/>
      <c r="I82" s="144"/>
      <c r="J82" s="143"/>
      <c r="K82" s="143"/>
      <c r="L82" s="143"/>
      <c r="M82" s="143"/>
      <c r="N82" s="177"/>
      <c r="O82" s="194"/>
    </row>
    <row r="83" spans="2:15" ht="14.4" thickBot="1">
      <c r="B83" s="193"/>
      <c r="C83" s="256" t="s">
        <v>25</v>
      </c>
      <c r="D83" s="257"/>
      <c r="E83" s="145"/>
      <c r="F83" s="146"/>
      <c r="G83" s="147"/>
      <c r="H83" s="143"/>
      <c r="I83" s="144"/>
      <c r="J83" s="143"/>
      <c r="K83" s="143"/>
      <c r="L83" s="143"/>
      <c r="M83" s="143"/>
      <c r="N83" s="177"/>
      <c r="O83" s="194"/>
    </row>
    <row r="84" spans="2:15" ht="14.4" thickBot="1">
      <c r="B84" s="193"/>
      <c r="C84" s="256" t="s">
        <v>53</v>
      </c>
      <c r="D84" s="257"/>
      <c r="E84" s="145"/>
      <c r="F84" s="146"/>
      <c r="G84" s="147"/>
      <c r="H84" s="143"/>
      <c r="I84" s="144"/>
      <c r="J84" s="143"/>
      <c r="K84" s="143"/>
      <c r="L84" s="143"/>
      <c r="M84" s="143"/>
      <c r="N84" s="177"/>
      <c r="O84" s="194"/>
    </row>
    <row r="85" spans="2:15" ht="14.25" customHeight="1" thickBot="1">
      <c r="B85" s="193"/>
      <c r="C85" s="380" t="s">
        <v>55</v>
      </c>
      <c r="D85" s="381"/>
      <c r="E85" s="145"/>
      <c r="F85" s="146"/>
      <c r="G85" s="147"/>
      <c r="H85" s="143"/>
      <c r="I85" s="144"/>
      <c r="J85" s="143"/>
      <c r="K85" s="143"/>
      <c r="L85" s="143"/>
      <c r="M85" s="143"/>
      <c r="N85" s="177"/>
      <c r="O85" s="194"/>
    </row>
    <row r="86" spans="2:15" ht="15" customHeight="1" thickBot="1">
      <c r="B86" s="193"/>
      <c r="C86" s="382" t="s">
        <v>56</v>
      </c>
      <c r="D86" s="383"/>
      <c r="E86" s="145"/>
      <c r="F86" s="146"/>
      <c r="G86" s="147"/>
      <c r="H86" s="143"/>
      <c r="I86" s="144"/>
      <c r="J86" s="143"/>
      <c r="K86" s="143"/>
      <c r="L86" s="143"/>
      <c r="M86" s="143"/>
      <c r="N86" s="177"/>
      <c r="O86" s="194"/>
    </row>
    <row r="87" spans="2:15" ht="14.25" customHeight="1" thickBot="1">
      <c r="B87" s="193"/>
      <c r="C87" s="380" t="s">
        <v>57</v>
      </c>
      <c r="D87" s="381"/>
      <c r="E87" s="145"/>
      <c r="F87" s="146"/>
      <c r="G87" s="147"/>
      <c r="H87" s="143"/>
      <c r="I87" s="144"/>
      <c r="J87" s="143"/>
      <c r="K87" s="143"/>
      <c r="L87" s="143"/>
      <c r="M87" s="143"/>
      <c r="N87" s="177"/>
      <c r="O87" s="194"/>
    </row>
    <row r="88" spans="2:15" ht="14.4" thickBot="1">
      <c r="B88" s="193"/>
      <c r="C88" s="376" t="s">
        <v>26</v>
      </c>
      <c r="D88" s="377"/>
      <c r="E88" s="145" t="s">
        <v>149</v>
      </c>
      <c r="F88" s="146"/>
      <c r="G88" s="177">
        <v>1600000</v>
      </c>
      <c r="H88" s="143">
        <v>1200000</v>
      </c>
      <c r="I88" s="144"/>
      <c r="J88" s="143"/>
      <c r="K88" s="143"/>
      <c r="L88" s="143"/>
      <c r="M88" s="143"/>
      <c r="N88" s="177">
        <v>3417178</v>
      </c>
      <c r="O88" s="194"/>
    </row>
    <row r="89" spans="2:15" ht="13.8">
      <c r="B89" s="193"/>
      <c r="C89" s="112"/>
      <c r="D89" s="112"/>
      <c r="E89" s="112"/>
      <c r="F89" s="112"/>
      <c r="G89" s="112"/>
      <c r="H89" s="112"/>
      <c r="I89" s="112"/>
      <c r="J89" s="114"/>
      <c r="K89" s="114"/>
      <c r="L89" s="114"/>
      <c r="M89" s="114"/>
      <c r="N89" s="114"/>
      <c r="O89" s="194"/>
    </row>
    <row r="90" spans="2:15" ht="14.4" thickBot="1">
      <c r="B90" s="193"/>
      <c r="C90" s="255" t="s">
        <v>45</v>
      </c>
      <c r="D90" s="242"/>
      <c r="E90" s="114"/>
      <c r="F90" s="114"/>
      <c r="G90" s="112"/>
      <c r="H90" s="112"/>
      <c r="I90" s="112"/>
      <c r="J90" s="114"/>
      <c r="K90" s="114"/>
      <c r="L90" s="114"/>
      <c r="M90" s="114"/>
      <c r="N90" s="114"/>
      <c r="O90" s="194"/>
    </row>
    <row r="91" spans="2:15" ht="14.4" thickBot="1">
      <c r="B91" s="193"/>
      <c r="C91" s="226" t="s">
        <v>18</v>
      </c>
      <c r="D91" s="242"/>
      <c r="E91" s="148" t="s">
        <v>153</v>
      </c>
      <c r="F91" s="114"/>
      <c r="G91" s="226" t="s">
        <v>11</v>
      </c>
      <c r="H91" s="112"/>
      <c r="I91" s="152" t="s">
        <v>171</v>
      </c>
      <c r="J91" s="114"/>
      <c r="K91" s="114"/>
      <c r="L91" s="114"/>
      <c r="M91" s="114"/>
      <c r="N91" s="114"/>
      <c r="O91" s="194"/>
    </row>
    <row r="92" spans="2:15" ht="42" thickBot="1">
      <c r="B92" s="193"/>
      <c r="C92" s="378" t="s">
        <v>40</v>
      </c>
      <c r="D92" s="378"/>
      <c r="E92" s="379" t="s">
        <v>22</v>
      </c>
      <c r="F92" s="379"/>
      <c r="G92" s="244">
        <f>$G$57</f>
        <v>2017</v>
      </c>
      <c r="H92" s="245">
        <f>G92+1</f>
        <v>2018</v>
      </c>
      <c r="I92" s="245">
        <f>H92+1</f>
        <v>2019</v>
      </c>
      <c r="J92" s="245">
        <f>I92+1</f>
        <v>2020</v>
      </c>
      <c r="K92" s="245">
        <f>J92+1</f>
        <v>2021</v>
      </c>
      <c r="L92" s="245">
        <f>K92+1</f>
        <v>2022</v>
      </c>
      <c r="M92" s="246" t="s">
        <v>41</v>
      </c>
      <c r="N92" s="246" t="str">
        <f>CONCATENATE("Sum of Expenditures Prior to ",G$19)</f>
        <v>Sum of Expenditures Prior to 2017</v>
      </c>
      <c r="O92" s="194"/>
    </row>
    <row r="93" spans="2:15" ht="14.4" thickBot="1">
      <c r="B93" s="193"/>
      <c r="C93" s="256" t="s">
        <v>21</v>
      </c>
      <c r="D93" s="257"/>
      <c r="E93" s="145"/>
      <c r="F93" s="146"/>
      <c r="G93" s="147"/>
      <c r="H93" s="143"/>
      <c r="I93" s="144"/>
      <c r="J93" s="143"/>
      <c r="K93" s="143"/>
      <c r="L93" s="143"/>
      <c r="M93" s="143"/>
      <c r="N93" s="177"/>
      <c r="O93" s="194"/>
    </row>
    <row r="94" spans="2:15" ht="14.4" thickBot="1">
      <c r="B94" s="193"/>
      <c r="C94" s="256" t="s">
        <v>25</v>
      </c>
      <c r="D94" s="257"/>
      <c r="E94" s="145"/>
      <c r="F94" s="146"/>
      <c r="G94" s="147"/>
      <c r="H94" s="143"/>
      <c r="I94" s="144"/>
      <c r="J94" s="143"/>
      <c r="K94" s="143"/>
      <c r="L94" s="143"/>
      <c r="M94" s="143"/>
      <c r="N94" s="177"/>
      <c r="O94" s="194"/>
    </row>
    <row r="95" spans="2:15" ht="14.4" thickBot="1">
      <c r="B95" s="193"/>
      <c r="C95" s="256" t="s">
        <v>53</v>
      </c>
      <c r="D95" s="257"/>
      <c r="E95" s="145"/>
      <c r="F95" s="146"/>
      <c r="G95" s="147"/>
      <c r="H95" s="143"/>
      <c r="I95" s="144"/>
      <c r="J95" s="143"/>
      <c r="K95" s="143"/>
      <c r="L95" s="143"/>
      <c r="M95" s="143"/>
      <c r="N95" s="177"/>
      <c r="O95" s="194"/>
    </row>
    <row r="96" spans="2:15" ht="14.4" thickBot="1">
      <c r="B96" s="193"/>
      <c r="C96" s="380" t="s">
        <v>55</v>
      </c>
      <c r="D96" s="381"/>
      <c r="E96" s="145"/>
      <c r="F96" s="146"/>
      <c r="G96" s="147"/>
      <c r="H96" s="143"/>
      <c r="I96" s="144"/>
      <c r="J96" s="143"/>
      <c r="K96" s="143"/>
      <c r="L96" s="143"/>
      <c r="M96" s="143"/>
      <c r="N96" s="177"/>
      <c r="O96" s="194"/>
    </row>
    <row r="97" spans="2:15" ht="14.4" thickBot="1">
      <c r="B97" s="193"/>
      <c r="C97" s="382" t="s">
        <v>56</v>
      </c>
      <c r="D97" s="383"/>
      <c r="E97" s="145"/>
      <c r="F97" s="146"/>
      <c r="G97" s="147"/>
      <c r="H97" s="143"/>
      <c r="I97" s="144"/>
      <c r="J97" s="143"/>
      <c r="K97" s="143"/>
      <c r="L97" s="143"/>
      <c r="M97" s="143"/>
      <c r="N97" s="177"/>
      <c r="O97" s="194"/>
    </row>
    <row r="98" spans="2:15" ht="14.4" thickBot="1">
      <c r="B98" s="193"/>
      <c r="C98" s="380" t="s">
        <v>57</v>
      </c>
      <c r="D98" s="381"/>
      <c r="E98" s="145"/>
      <c r="F98" s="146"/>
      <c r="G98" s="147"/>
      <c r="H98" s="143"/>
      <c r="I98" s="144"/>
      <c r="J98" s="143"/>
      <c r="K98" s="143"/>
      <c r="L98" s="143"/>
      <c r="M98" s="143"/>
      <c r="N98" s="177"/>
      <c r="O98" s="194"/>
    </row>
    <row r="99" spans="2:15" ht="14.4" thickBot="1">
      <c r="B99" s="193"/>
      <c r="C99" s="376" t="s">
        <v>26</v>
      </c>
      <c r="D99" s="377"/>
      <c r="E99" s="145" t="s">
        <v>174</v>
      </c>
      <c r="F99" s="146"/>
      <c r="G99" s="147">
        <v>9700000</v>
      </c>
      <c r="H99" s="143"/>
      <c r="I99" s="144"/>
      <c r="J99" s="143"/>
      <c r="K99" s="143"/>
      <c r="L99" s="143"/>
      <c r="M99" s="143"/>
      <c r="N99" s="177"/>
      <c r="O99" s="194"/>
    </row>
    <row r="100" spans="2:15" ht="13.8">
      <c r="B100" s="193"/>
      <c r="C100" s="112"/>
      <c r="D100" s="112"/>
      <c r="E100" s="112"/>
      <c r="F100" s="112"/>
      <c r="G100" s="112"/>
      <c r="H100" s="112"/>
      <c r="I100" s="112"/>
      <c r="J100" s="114"/>
      <c r="K100" s="114"/>
      <c r="L100" s="114"/>
      <c r="M100" s="114"/>
      <c r="N100" s="114"/>
      <c r="O100" s="194"/>
    </row>
    <row r="101" spans="2:15" ht="14.4" thickBot="1">
      <c r="B101" s="193"/>
      <c r="C101" s="255" t="s">
        <v>46</v>
      </c>
      <c r="D101" s="242"/>
      <c r="E101" s="114"/>
      <c r="F101" s="114"/>
      <c r="G101" s="112"/>
      <c r="H101" s="112"/>
      <c r="I101" s="112"/>
      <c r="J101" s="114"/>
      <c r="K101" s="114"/>
      <c r="L101" s="114"/>
      <c r="M101" s="114"/>
      <c r="N101" s="114"/>
      <c r="O101" s="194"/>
    </row>
    <row r="102" spans="2:15" ht="14.4" thickBot="1">
      <c r="B102" s="193"/>
      <c r="C102" s="226" t="s">
        <v>18</v>
      </c>
      <c r="D102" s="242"/>
      <c r="E102" s="148" t="s">
        <v>153</v>
      </c>
      <c r="F102" s="114"/>
      <c r="G102" s="226" t="s">
        <v>11</v>
      </c>
      <c r="H102" s="112"/>
      <c r="I102" s="152" t="s">
        <v>172</v>
      </c>
      <c r="J102" s="114"/>
      <c r="K102" s="114"/>
      <c r="L102" s="114"/>
      <c r="M102" s="114"/>
      <c r="N102" s="114"/>
      <c r="O102" s="194"/>
    </row>
    <row r="103" spans="2:15" ht="42" thickBot="1">
      <c r="B103" s="193"/>
      <c r="C103" s="378" t="s">
        <v>40</v>
      </c>
      <c r="D103" s="378"/>
      <c r="E103" s="379" t="s">
        <v>22</v>
      </c>
      <c r="F103" s="379"/>
      <c r="G103" s="244">
        <f>$G$57</f>
        <v>2017</v>
      </c>
      <c r="H103" s="245">
        <f>G103+1</f>
        <v>2018</v>
      </c>
      <c r="I103" s="245">
        <f>H103+1</f>
        <v>2019</v>
      </c>
      <c r="J103" s="245">
        <f>I103+1</f>
        <v>2020</v>
      </c>
      <c r="K103" s="245">
        <f>J103+1</f>
        <v>2021</v>
      </c>
      <c r="L103" s="245">
        <f>K103+1</f>
        <v>2022</v>
      </c>
      <c r="M103" s="246" t="s">
        <v>41</v>
      </c>
      <c r="N103" s="246" t="str">
        <f>CONCATENATE("Sum of Expenditures Prior to ",G$19)</f>
        <v>Sum of Expenditures Prior to 2017</v>
      </c>
      <c r="O103" s="194"/>
    </row>
    <row r="104" spans="2:15" ht="14.4" thickBot="1">
      <c r="B104" s="193"/>
      <c r="C104" s="256" t="s">
        <v>21</v>
      </c>
      <c r="D104" s="257"/>
      <c r="E104" s="145"/>
      <c r="F104" s="146"/>
      <c r="G104" s="147"/>
      <c r="H104" s="143"/>
      <c r="I104" s="144"/>
      <c r="J104" s="143"/>
      <c r="K104" s="143"/>
      <c r="L104" s="143"/>
      <c r="M104" s="143"/>
      <c r="N104" s="177"/>
      <c r="O104" s="194"/>
    </row>
    <row r="105" spans="2:15" ht="14.4" thickBot="1">
      <c r="B105" s="193"/>
      <c r="C105" s="256" t="s">
        <v>25</v>
      </c>
      <c r="D105" s="257"/>
      <c r="E105" s="145"/>
      <c r="F105" s="146"/>
      <c r="G105" s="147"/>
      <c r="H105" s="143"/>
      <c r="I105" s="144"/>
      <c r="J105" s="143"/>
      <c r="K105" s="143"/>
      <c r="L105" s="143"/>
      <c r="M105" s="143"/>
      <c r="N105" s="177"/>
      <c r="O105" s="194"/>
    </row>
    <row r="106" spans="2:15" ht="14.4" thickBot="1">
      <c r="B106" s="193"/>
      <c r="C106" s="256" t="s">
        <v>53</v>
      </c>
      <c r="D106" s="257"/>
      <c r="E106" s="145"/>
      <c r="F106" s="146"/>
      <c r="G106" s="147"/>
      <c r="H106" s="143"/>
      <c r="I106" s="144"/>
      <c r="J106" s="143"/>
      <c r="K106" s="143"/>
      <c r="L106" s="143"/>
      <c r="M106" s="143"/>
      <c r="N106" s="177"/>
      <c r="O106" s="194"/>
    </row>
    <row r="107" spans="2:15" ht="14.4" thickBot="1">
      <c r="B107" s="193"/>
      <c r="C107" s="380" t="s">
        <v>55</v>
      </c>
      <c r="D107" s="381"/>
      <c r="E107" s="145"/>
      <c r="F107" s="146"/>
      <c r="G107" s="147"/>
      <c r="H107" s="143"/>
      <c r="I107" s="144"/>
      <c r="J107" s="143"/>
      <c r="K107" s="143"/>
      <c r="L107" s="143"/>
      <c r="M107" s="143"/>
      <c r="N107" s="177"/>
      <c r="O107" s="194"/>
    </row>
    <row r="108" spans="2:15" ht="14.4" thickBot="1">
      <c r="B108" s="193"/>
      <c r="C108" s="382" t="s">
        <v>56</v>
      </c>
      <c r="D108" s="383"/>
      <c r="E108" s="145"/>
      <c r="F108" s="146"/>
      <c r="G108" s="147"/>
      <c r="H108" s="143"/>
      <c r="I108" s="144"/>
      <c r="J108" s="143"/>
      <c r="K108" s="143"/>
      <c r="L108" s="143"/>
      <c r="M108" s="143"/>
      <c r="N108" s="177"/>
      <c r="O108" s="194"/>
    </row>
    <row r="109" spans="2:15" ht="14.4" thickBot="1">
      <c r="B109" s="193"/>
      <c r="C109" s="380" t="s">
        <v>57</v>
      </c>
      <c r="D109" s="381"/>
      <c r="E109" s="145"/>
      <c r="F109" s="146"/>
      <c r="G109" s="147"/>
      <c r="H109" s="143"/>
      <c r="I109" s="144"/>
      <c r="J109" s="143"/>
      <c r="K109" s="143"/>
      <c r="L109" s="143"/>
      <c r="M109" s="143"/>
      <c r="N109" s="177"/>
      <c r="O109" s="194"/>
    </row>
    <row r="110" spans="2:15" ht="14.4" thickBot="1">
      <c r="B110" s="193"/>
      <c r="C110" s="376" t="s">
        <v>26</v>
      </c>
      <c r="D110" s="377"/>
      <c r="E110" s="145" t="s">
        <v>181</v>
      </c>
      <c r="F110" s="146"/>
      <c r="G110" s="147">
        <v>3500000</v>
      </c>
      <c r="H110" s="143">
        <v>3200000</v>
      </c>
      <c r="I110" s="144"/>
      <c r="J110" s="143"/>
      <c r="K110" s="143"/>
      <c r="L110" s="143"/>
      <c r="M110" s="143"/>
      <c r="N110" s="177"/>
      <c r="O110" s="194"/>
    </row>
    <row r="111" spans="2:15" ht="13.8">
      <c r="B111" s="193"/>
      <c r="C111" s="112"/>
      <c r="D111" s="112"/>
      <c r="E111" s="112"/>
      <c r="F111" s="112"/>
      <c r="G111" s="112"/>
      <c r="H111" s="112"/>
      <c r="I111" s="112"/>
      <c r="J111" s="114"/>
      <c r="K111" s="114"/>
      <c r="L111" s="114"/>
      <c r="M111" s="114"/>
      <c r="N111" s="114"/>
      <c r="O111" s="194"/>
    </row>
    <row r="112" spans="2:15" ht="13.8" thickBot="1">
      <c r="B112" s="193"/>
      <c r="C112" s="258" t="s">
        <v>47</v>
      </c>
      <c r="D112" s="218"/>
      <c r="E112" s="109"/>
      <c r="F112" s="109"/>
      <c r="G112" s="118"/>
      <c r="H112" s="118"/>
      <c r="I112" s="118"/>
      <c r="J112" s="109"/>
      <c r="K112" s="109"/>
      <c r="L112" s="109"/>
      <c r="M112" s="109"/>
      <c r="N112" s="109"/>
      <c r="O112" s="194"/>
    </row>
    <row r="113" spans="2:15" ht="14.4" thickBot="1">
      <c r="B113" s="193"/>
      <c r="C113" s="259" t="s">
        <v>18</v>
      </c>
      <c r="D113" s="218"/>
      <c r="E113" s="157" t="s">
        <v>153</v>
      </c>
      <c r="F113" s="109"/>
      <c r="G113" s="226" t="s">
        <v>11</v>
      </c>
      <c r="H113" s="118"/>
      <c r="I113" s="158">
        <v>1127199</v>
      </c>
      <c r="J113" s="109"/>
      <c r="K113" s="109"/>
      <c r="L113" s="109"/>
      <c r="M113" s="109"/>
      <c r="N113" s="109"/>
      <c r="O113" s="194"/>
    </row>
    <row r="114" spans="2:15" ht="42" thickBot="1">
      <c r="B114" s="193"/>
      <c r="C114" s="378" t="s">
        <v>40</v>
      </c>
      <c r="D114" s="378"/>
      <c r="E114" s="379" t="s">
        <v>22</v>
      </c>
      <c r="F114" s="379"/>
      <c r="G114" s="263">
        <f>$G$57</f>
        <v>2017</v>
      </c>
      <c r="H114" s="264">
        <f>G114+1</f>
        <v>2018</v>
      </c>
      <c r="I114" s="264">
        <f>H114+1</f>
        <v>2019</v>
      </c>
      <c r="J114" s="264">
        <f>I114+1</f>
        <v>2020</v>
      </c>
      <c r="K114" s="245">
        <f>J114+1</f>
        <v>2021</v>
      </c>
      <c r="L114" s="245">
        <f>K114+1</f>
        <v>2022</v>
      </c>
      <c r="M114" s="265" t="s">
        <v>41</v>
      </c>
      <c r="N114" s="246" t="str">
        <f>CONCATENATE("Sum of Expenditures Prior to ",G$19)</f>
        <v>Sum of Expenditures Prior to 2017</v>
      </c>
      <c r="O114" s="194"/>
    </row>
    <row r="115" spans="2:15" ht="14.4" thickBot="1">
      <c r="B115" s="193"/>
      <c r="C115" s="260" t="s">
        <v>21</v>
      </c>
      <c r="D115" s="261"/>
      <c r="E115" s="155"/>
      <c r="F115" s="156"/>
      <c r="G115" s="147"/>
      <c r="H115" s="143"/>
      <c r="I115" s="144"/>
      <c r="J115" s="143"/>
      <c r="K115" s="143"/>
      <c r="L115" s="143"/>
      <c r="M115" s="143"/>
      <c r="N115" s="177"/>
      <c r="O115" s="194"/>
    </row>
    <row r="116" spans="2:15" ht="14.4" thickBot="1">
      <c r="B116" s="193"/>
      <c r="C116" s="260" t="s">
        <v>25</v>
      </c>
      <c r="D116" s="261"/>
      <c r="E116" s="155"/>
      <c r="F116" s="156"/>
      <c r="G116" s="147"/>
      <c r="H116" s="143"/>
      <c r="I116" s="144"/>
      <c r="J116" s="143"/>
      <c r="K116" s="143"/>
      <c r="L116" s="143"/>
      <c r="M116" s="143"/>
      <c r="N116" s="177"/>
      <c r="O116" s="194"/>
    </row>
    <row r="117" spans="2:15" ht="14.4" thickBot="1">
      <c r="B117" s="193"/>
      <c r="C117" s="260" t="s">
        <v>53</v>
      </c>
      <c r="D117" s="261"/>
      <c r="E117" s="155"/>
      <c r="F117" s="156"/>
      <c r="G117" s="147"/>
      <c r="H117" s="143"/>
      <c r="I117" s="144"/>
      <c r="J117" s="143"/>
      <c r="K117" s="143"/>
      <c r="L117" s="143"/>
      <c r="M117" s="143"/>
      <c r="N117" s="177"/>
      <c r="O117" s="194"/>
    </row>
    <row r="118" spans="2:15" ht="14.4" thickBot="1">
      <c r="B118" s="193"/>
      <c r="C118" s="384" t="s">
        <v>55</v>
      </c>
      <c r="D118" s="385"/>
      <c r="E118" s="155"/>
      <c r="F118" s="156"/>
      <c r="G118" s="147"/>
      <c r="H118" s="143"/>
      <c r="I118" s="144"/>
      <c r="J118" s="143"/>
      <c r="K118" s="143"/>
      <c r="L118" s="143"/>
      <c r="M118" s="143"/>
      <c r="N118" s="177"/>
      <c r="O118" s="194"/>
    </row>
    <row r="119" spans="2:15" ht="14.4" thickBot="1">
      <c r="B119" s="193"/>
      <c r="C119" s="388" t="s">
        <v>56</v>
      </c>
      <c r="D119" s="389"/>
      <c r="E119" s="155"/>
      <c r="F119" s="156"/>
      <c r="G119" s="147"/>
      <c r="H119" s="143"/>
      <c r="I119" s="144"/>
      <c r="J119" s="143"/>
      <c r="K119" s="143"/>
      <c r="L119" s="143"/>
      <c r="M119" s="143"/>
      <c r="N119" s="177"/>
      <c r="O119" s="194"/>
    </row>
    <row r="120" spans="2:15" ht="14.4" thickBot="1">
      <c r="B120" s="193"/>
      <c r="C120" s="384" t="s">
        <v>57</v>
      </c>
      <c r="D120" s="385"/>
      <c r="E120" s="155"/>
      <c r="F120" s="156"/>
      <c r="G120" s="147"/>
      <c r="H120" s="143"/>
      <c r="I120" s="144"/>
      <c r="J120" s="143"/>
      <c r="K120" s="143"/>
      <c r="L120" s="143"/>
      <c r="M120" s="143"/>
      <c r="N120" s="177"/>
      <c r="O120" s="194"/>
    </row>
    <row r="121" spans="2:15" ht="14.4" thickBot="1">
      <c r="B121" s="193"/>
      <c r="C121" s="386" t="s">
        <v>26</v>
      </c>
      <c r="D121" s="387"/>
      <c r="E121" s="344"/>
      <c r="F121" s="156"/>
      <c r="G121" s="144"/>
      <c r="H121" s="144">
        <f>1100000*0</f>
        <v>0</v>
      </c>
      <c r="I121" s="144">
        <f>400000*0</f>
        <v>0</v>
      </c>
      <c r="J121" s="144"/>
      <c r="K121" s="144"/>
      <c r="L121" s="143"/>
      <c r="M121" s="143"/>
      <c r="N121" s="177"/>
      <c r="O121" s="194"/>
    </row>
    <row r="122" spans="2:15" ht="13.8">
      <c r="B122" s="193"/>
      <c r="C122" s="262"/>
      <c r="D122" s="262"/>
      <c r="E122" s="109"/>
      <c r="F122" s="109"/>
      <c r="G122" s="118"/>
      <c r="H122" s="118"/>
      <c r="I122" s="118"/>
      <c r="J122" s="109"/>
      <c r="K122" s="109"/>
      <c r="L122" s="109"/>
      <c r="M122" s="109"/>
      <c r="N122" s="109"/>
      <c r="O122" s="194"/>
    </row>
    <row r="123" spans="2:15" ht="13.8" thickBot="1">
      <c r="B123" s="193"/>
      <c r="C123" s="258" t="s">
        <v>58</v>
      </c>
      <c r="D123" s="218"/>
      <c r="E123" s="109"/>
      <c r="F123" s="109"/>
      <c r="G123" s="118"/>
      <c r="H123" s="118"/>
      <c r="I123" s="118"/>
      <c r="J123" s="109"/>
      <c r="K123" s="109"/>
      <c r="L123" s="109"/>
      <c r="M123" s="109"/>
      <c r="N123" s="109"/>
      <c r="O123" s="194"/>
    </row>
    <row r="124" spans="2:15" ht="14.4" thickBot="1">
      <c r="B124" s="193"/>
      <c r="C124" s="259" t="s">
        <v>18</v>
      </c>
      <c r="D124" s="218"/>
      <c r="E124" s="157" t="s">
        <v>153</v>
      </c>
      <c r="F124" s="109"/>
      <c r="G124" s="226" t="s">
        <v>11</v>
      </c>
      <c r="H124" s="118"/>
      <c r="I124" s="158">
        <v>1131130</v>
      </c>
      <c r="J124" s="109"/>
      <c r="K124" s="109"/>
      <c r="L124" s="109"/>
      <c r="M124" s="109"/>
      <c r="N124" s="109"/>
      <c r="O124" s="194"/>
    </row>
    <row r="125" spans="2:15" ht="42" thickBot="1">
      <c r="B125" s="193"/>
      <c r="C125" s="378" t="s">
        <v>40</v>
      </c>
      <c r="D125" s="378"/>
      <c r="E125" s="379" t="s">
        <v>22</v>
      </c>
      <c r="F125" s="379"/>
      <c r="G125" s="263">
        <f>$G$57</f>
        <v>2017</v>
      </c>
      <c r="H125" s="264">
        <f>G125+1</f>
        <v>2018</v>
      </c>
      <c r="I125" s="264">
        <f>H125+1</f>
        <v>2019</v>
      </c>
      <c r="J125" s="264">
        <f>I125+1</f>
        <v>2020</v>
      </c>
      <c r="K125" s="245">
        <f>J125+1</f>
        <v>2021</v>
      </c>
      <c r="L125" s="245">
        <f>K125+1</f>
        <v>2022</v>
      </c>
      <c r="M125" s="265" t="s">
        <v>41</v>
      </c>
      <c r="N125" s="246" t="str">
        <f>CONCATENATE("Sum of Expenditures Prior to ",G$19)</f>
        <v>Sum of Expenditures Prior to 2017</v>
      </c>
      <c r="O125" s="194"/>
    </row>
    <row r="126" spans="2:15" ht="14.4" thickBot="1">
      <c r="B126" s="193"/>
      <c r="C126" s="260" t="s">
        <v>21</v>
      </c>
      <c r="D126" s="261"/>
      <c r="E126" s="155"/>
      <c r="F126" s="156"/>
      <c r="G126" s="147"/>
      <c r="H126" s="143"/>
      <c r="I126" s="144"/>
      <c r="J126" s="143"/>
      <c r="K126" s="143"/>
      <c r="L126" s="143"/>
      <c r="M126" s="143"/>
      <c r="N126" s="177"/>
      <c r="O126" s="194"/>
    </row>
    <row r="127" spans="2:15" ht="14.4" thickBot="1">
      <c r="B127" s="193"/>
      <c r="C127" s="260" t="s">
        <v>25</v>
      </c>
      <c r="D127" s="261"/>
      <c r="E127" s="155"/>
      <c r="F127" s="156"/>
      <c r="G127" s="147"/>
      <c r="H127" s="143"/>
      <c r="I127" s="144"/>
      <c r="J127" s="143"/>
      <c r="K127" s="143"/>
      <c r="L127" s="143"/>
      <c r="M127" s="143"/>
      <c r="N127" s="177"/>
      <c r="O127" s="194"/>
    </row>
    <row r="128" spans="2:15" ht="14.4" thickBot="1">
      <c r="B128" s="193"/>
      <c r="C128" s="260" t="s">
        <v>53</v>
      </c>
      <c r="D128" s="261"/>
      <c r="E128" s="155"/>
      <c r="F128" s="156"/>
      <c r="G128" s="147"/>
      <c r="H128" s="143"/>
      <c r="I128" s="144"/>
      <c r="J128" s="143"/>
      <c r="K128" s="143"/>
      <c r="L128" s="143"/>
      <c r="M128" s="143"/>
      <c r="N128" s="177"/>
      <c r="O128" s="194"/>
    </row>
    <row r="129" spans="2:15" ht="14.4" thickBot="1">
      <c r="B129" s="193"/>
      <c r="C129" s="384" t="s">
        <v>55</v>
      </c>
      <c r="D129" s="385"/>
      <c r="E129" s="155"/>
      <c r="F129" s="156"/>
      <c r="G129" s="147"/>
      <c r="H129" s="143"/>
      <c r="I129" s="144"/>
      <c r="J129" s="143"/>
      <c r="K129" s="143"/>
      <c r="L129" s="143"/>
      <c r="M129" s="143"/>
      <c r="N129" s="177"/>
      <c r="O129" s="194"/>
    </row>
    <row r="130" spans="2:15" ht="26.7" customHeight="1" thickBot="1">
      <c r="B130" s="193"/>
      <c r="C130" s="388" t="s">
        <v>56</v>
      </c>
      <c r="D130" s="389"/>
      <c r="E130" s="155"/>
      <c r="F130" s="156"/>
      <c r="G130" s="147"/>
      <c r="H130" s="143"/>
      <c r="I130" s="144"/>
      <c r="J130" s="143"/>
      <c r="K130" s="143"/>
      <c r="L130" s="143"/>
      <c r="M130" s="143"/>
      <c r="N130" s="177"/>
      <c r="O130" s="194"/>
    </row>
    <row r="131" spans="2:15" ht="26.7" customHeight="1" thickBot="1">
      <c r="B131" s="193"/>
      <c r="C131" s="384" t="s">
        <v>57</v>
      </c>
      <c r="D131" s="385"/>
      <c r="E131" s="155"/>
      <c r="F131" s="156"/>
      <c r="G131" s="147"/>
      <c r="H131" s="143"/>
      <c r="I131" s="144"/>
      <c r="J131" s="143"/>
      <c r="K131" s="143"/>
      <c r="L131" s="143"/>
      <c r="M131" s="143"/>
      <c r="N131" s="177"/>
      <c r="O131" s="194"/>
    </row>
    <row r="132" spans="2:15" ht="26.7" customHeight="1" thickBot="1">
      <c r="B132" s="193"/>
      <c r="C132" s="386" t="s">
        <v>26</v>
      </c>
      <c r="D132" s="390"/>
      <c r="E132" s="391" t="s">
        <v>183</v>
      </c>
      <c r="F132" s="391"/>
      <c r="G132" s="147"/>
      <c r="H132" s="143"/>
      <c r="I132" s="144"/>
      <c r="J132" s="144">
        <v>4000000</v>
      </c>
      <c r="K132" s="144"/>
      <c r="L132" s="143"/>
      <c r="M132" s="143"/>
      <c r="N132" s="177"/>
      <c r="O132" s="194"/>
    </row>
    <row r="133" spans="2:15" ht="13.8">
      <c r="B133" s="193"/>
      <c r="C133" s="262"/>
      <c r="D133" s="262"/>
      <c r="E133" s="109"/>
      <c r="F133" s="109"/>
      <c r="G133" s="118"/>
      <c r="H133" s="118"/>
      <c r="I133" s="118"/>
      <c r="J133" s="109"/>
      <c r="K133" s="109"/>
      <c r="L133" s="109"/>
      <c r="M133" s="109"/>
      <c r="N133" s="109"/>
      <c r="O133" s="194"/>
    </row>
    <row r="134" spans="2:15" ht="13.8" thickBot="1">
      <c r="B134" s="193"/>
      <c r="C134" s="258" t="s">
        <v>59</v>
      </c>
      <c r="D134" s="218"/>
      <c r="E134" s="109"/>
      <c r="F134" s="109"/>
      <c r="G134" s="118"/>
      <c r="H134" s="118"/>
      <c r="I134" s="118"/>
      <c r="J134" s="109"/>
      <c r="K134" s="109"/>
      <c r="L134" s="109"/>
      <c r="M134" s="109"/>
      <c r="N134" s="109"/>
      <c r="O134" s="194"/>
    </row>
    <row r="135" spans="2:15" ht="14.4" thickBot="1">
      <c r="B135" s="193"/>
      <c r="C135" s="259" t="s">
        <v>18</v>
      </c>
      <c r="D135" s="218"/>
      <c r="E135" s="157" t="s">
        <v>152</v>
      </c>
      <c r="F135" s="109"/>
      <c r="G135" s="226" t="s">
        <v>11</v>
      </c>
      <c r="H135" s="118"/>
      <c r="I135" s="158" t="s">
        <v>48</v>
      </c>
      <c r="J135" s="109"/>
      <c r="K135" s="109"/>
      <c r="L135" s="109"/>
      <c r="M135" s="109"/>
      <c r="N135" s="109"/>
      <c r="O135" s="194"/>
    </row>
    <row r="136" spans="2:15" ht="42" thickBot="1">
      <c r="B136" s="193"/>
      <c r="C136" s="378" t="s">
        <v>40</v>
      </c>
      <c r="D136" s="378"/>
      <c r="E136" s="379" t="s">
        <v>22</v>
      </c>
      <c r="F136" s="379"/>
      <c r="G136" s="263">
        <f>$G$57</f>
        <v>2017</v>
      </c>
      <c r="H136" s="264">
        <f>G136+1</f>
        <v>2018</v>
      </c>
      <c r="I136" s="264">
        <f>H136+1</f>
        <v>2019</v>
      </c>
      <c r="J136" s="264">
        <f>I136+1</f>
        <v>2020</v>
      </c>
      <c r="K136" s="245">
        <f>J136+1</f>
        <v>2021</v>
      </c>
      <c r="L136" s="245">
        <f>K136+1</f>
        <v>2022</v>
      </c>
      <c r="M136" s="265" t="s">
        <v>41</v>
      </c>
      <c r="N136" s="246" t="str">
        <f>CONCATENATE("Sum of Expenditures Prior to ",G$19)</f>
        <v>Sum of Expenditures Prior to 2017</v>
      </c>
      <c r="O136" s="194"/>
    </row>
    <row r="137" spans="2:15" ht="14.4" thickBot="1">
      <c r="B137" s="193"/>
      <c r="C137" s="260" t="s">
        <v>21</v>
      </c>
      <c r="D137" s="261"/>
      <c r="E137" s="155"/>
      <c r="F137" s="156"/>
      <c r="G137" s="147"/>
      <c r="H137" s="143"/>
      <c r="I137" s="144"/>
      <c r="J137" s="143"/>
      <c r="K137" s="143"/>
      <c r="L137" s="143"/>
      <c r="M137" s="143"/>
      <c r="N137" s="177"/>
      <c r="O137" s="194"/>
    </row>
    <row r="138" spans="2:15" ht="14.4" thickBot="1">
      <c r="B138" s="193"/>
      <c r="C138" s="260" t="s">
        <v>25</v>
      </c>
      <c r="D138" s="261"/>
      <c r="E138" s="155"/>
      <c r="F138" s="156"/>
      <c r="G138" s="147"/>
      <c r="H138" s="143"/>
      <c r="I138" s="144"/>
      <c r="J138" s="143"/>
      <c r="K138" s="143"/>
      <c r="L138" s="143"/>
      <c r="M138" s="143"/>
      <c r="N138" s="177"/>
      <c r="O138" s="194"/>
    </row>
    <row r="139" spans="2:15" ht="14.4" thickBot="1">
      <c r="B139" s="193"/>
      <c r="C139" s="260" t="s">
        <v>53</v>
      </c>
      <c r="D139" s="261"/>
      <c r="E139" s="155"/>
      <c r="F139" s="156"/>
      <c r="G139" s="147"/>
      <c r="H139" s="143"/>
      <c r="I139" s="144"/>
      <c r="J139" s="143"/>
      <c r="K139" s="143"/>
      <c r="L139" s="143"/>
      <c r="M139" s="143"/>
      <c r="N139" s="177"/>
      <c r="O139" s="194"/>
    </row>
    <row r="140" spans="2:15" ht="14.4" thickBot="1">
      <c r="B140" s="193"/>
      <c r="C140" s="384" t="s">
        <v>55</v>
      </c>
      <c r="D140" s="385"/>
      <c r="E140" s="155"/>
      <c r="F140" s="156"/>
      <c r="G140" s="147"/>
      <c r="H140" s="143"/>
      <c r="I140" s="144"/>
      <c r="J140" s="143"/>
      <c r="K140" s="143"/>
      <c r="L140" s="143"/>
      <c r="M140" s="143"/>
      <c r="N140" s="177"/>
      <c r="O140" s="194"/>
    </row>
    <row r="141" spans="2:15" ht="14.4" thickBot="1">
      <c r="B141" s="193"/>
      <c r="C141" s="386" t="s">
        <v>26</v>
      </c>
      <c r="D141" s="387"/>
      <c r="E141" s="337" t="s">
        <v>177</v>
      </c>
      <c r="F141" s="338"/>
      <c r="G141" s="147"/>
      <c r="H141" s="143">
        <v>682370</v>
      </c>
      <c r="I141" s="144">
        <v>2730000</v>
      </c>
      <c r="J141" s="143">
        <f>3000000/2</f>
        <v>1500000</v>
      </c>
      <c r="K141" s="143"/>
      <c r="L141" s="143"/>
      <c r="M141" s="143"/>
      <c r="N141" s="177"/>
      <c r="O141" s="194"/>
    </row>
    <row r="142" spans="2:15" ht="30" customHeight="1" thickBot="1">
      <c r="B142" s="193"/>
      <c r="C142" s="386" t="s">
        <v>26</v>
      </c>
      <c r="D142" s="387"/>
      <c r="E142" s="392" t="s">
        <v>184</v>
      </c>
      <c r="F142" s="393"/>
      <c r="G142" s="147"/>
      <c r="H142" s="143"/>
      <c r="I142" s="144"/>
      <c r="J142" s="143">
        <v>0</v>
      </c>
      <c r="K142" s="143"/>
      <c r="L142" s="143"/>
      <c r="M142" s="143"/>
      <c r="N142" s="177"/>
      <c r="O142" s="194"/>
    </row>
    <row r="143" spans="2:15" ht="35.25" customHeight="1" thickBot="1">
      <c r="B143" s="193"/>
      <c r="C143" s="386" t="s">
        <v>26</v>
      </c>
      <c r="D143" s="387"/>
      <c r="E143" s="391" t="s">
        <v>185</v>
      </c>
      <c r="F143" s="391"/>
      <c r="G143" s="147"/>
      <c r="H143" s="143">
        <v>-776000</v>
      </c>
      <c r="I143" s="144">
        <v>-3100000</v>
      </c>
      <c r="J143" s="143"/>
      <c r="K143" s="143"/>
      <c r="L143" s="143">
        <v>0</v>
      </c>
      <c r="M143" s="143"/>
      <c r="N143" s="177"/>
      <c r="O143" s="194"/>
    </row>
    <row r="144" spans="2:15" ht="13.8">
      <c r="B144" s="193"/>
      <c r="C144" s="262"/>
      <c r="D144" s="262"/>
      <c r="E144" s="109"/>
      <c r="F144" s="109"/>
      <c r="G144" s="118"/>
      <c r="H144" s="118"/>
      <c r="I144" s="118"/>
      <c r="J144" s="109"/>
      <c r="K144" s="109"/>
      <c r="L144" s="109"/>
      <c r="M144" s="109"/>
      <c r="N144" s="109"/>
      <c r="O144" s="194"/>
    </row>
    <row r="145" spans="2:15" ht="13.8" thickBot="1">
      <c r="B145" s="193"/>
      <c r="C145" s="258" t="s">
        <v>59</v>
      </c>
      <c r="D145" s="218"/>
      <c r="E145" s="109"/>
      <c r="F145" s="109"/>
      <c r="G145" s="118"/>
      <c r="H145" s="118"/>
      <c r="I145" s="118"/>
      <c r="J145" s="109"/>
      <c r="K145" s="109"/>
      <c r="L145" s="109"/>
      <c r="M145" s="109"/>
      <c r="N145" s="109"/>
      <c r="O145" s="194"/>
    </row>
    <row r="146" spans="2:15" ht="14.4" thickBot="1">
      <c r="B146" s="193"/>
      <c r="C146" s="259" t="s">
        <v>18</v>
      </c>
      <c r="D146" s="218"/>
      <c r="E146" s="157" t="s">
        <v>145</v>
      </c>
      <c r="F146" s="109"/>
      <c r="G146" s="226" t="s">
        <v>11</v>
      </c>
      <c r="H146" s="118"/>
      <c r="I146" s="158" t="s">
        <v>48</v>
      </c>
      <c r="J146" s="109"/>
      <c r="K146" s="109"/>
      <c r="L146" s="109"/>
      <c r="M146" s="109"/>
      <c r="N146" s="109"/>
      <c r="O146" s="194"/>
    </row>
    <row r="147" spans="2:15" ht="42" thickBot="1">
      <c r="B147" s="193"/>
      <c r="C147" s="378" t="s">
        <v>40</v>
      </c>
      <c r="D147" s="378"/>
      <c r="E147" s="379" t="s">
        <v>22</v>
      </c>
      <c r="F147" s="379"/>
      <c r="G147" s="263">
        <f>$G$57</f>
        <v>2017</v>
      </c>
      <c r="H147" s="264">
        <f>G147+1</f>
        <v>2018</v>
      </c>
      <c r="I147" s="264">
        <f>H147+1</f>
        <v>2019</v>
      </c>
      <c r="J147" s="264">
        <f>I147+1</f>
        <v>2020</v>
      </c>
      <c r="K147" s="264"/>
      <c r="L147" s="264"/>
      <c r="M147" s="265" t="s">
        <v>41</v>
      </c>
      <c r="N147" s="246" t="str">
        <f>CONCATENATE("Sum of Expenditures Prior to ",G$19)</f>
        <v>Sum of Expenditures Prior to 2017</v>
      </c>
      <c r="O147" s="194"/>
    </row>
    <row r="148" spans="2:15" ht="14.4" thickBot="1">
      <c r="B148" s="193"/>
      <c r="C148" s="260" t="s">
        <v>21</v>
      </c>
      <c r="D148" s="261"/>
      <c r="E148" s="155"/>
      <c r="F148" s="156"/>
      <c r="G148" s="147"/>
      <c r="H148" s="143">
        <v>500000</v>
      </c>
      <c r="I148" s="144"/>
      <c r="J148" s="143"/>
      <c r="K148" s="143"/>
      <c r="L148" s="143"/>
      <c r="M148" s="143"/>
      <c r="N148" s="177"/>
      <c r="O148" s="194"/>
    </row>
    <row r="149" spans="2:15" ht="14.4" thickBot="1">
      <c r="B149" s="193"/>
      <c r="C149" s="260" t="s">
        <v>25</v>
      </c>
      <c r="D149" s="261"/>
      <c r="E149" s="155"/>
      <c r="F149" s="156"/>
      <c r="G149" s="147"/>
      <c r="H149" s="143"/>
      <c r="I149" s="144"/>
      <c r="J149" s="143"/>
      <c r="K149" s="143"/>
      <c r="L149" s="143"/>
      <c r="M149" s="143"/>
      <c r="N149" s="177"/>
      <c r="O149" s="194"/>
    </row>
    <row r="150" spans="2:15" ht="14.4" thickBot="1">
      <c r="B150" s="193"/>
      <c r="C150" s="260" t="s">
        <v>53</v>
      </c>
      <c r="D150" s="261"/>
      <c r="E150" s="155"/>
      <c r="F150" s="156"/>
      <c r="G150" s="147"/>
      <c r="H150" s="143"/>
      <c r="I150" s="144"/>
      <c r="J150" s="143"/>
      <c r="K150" s="143"/>
      <c r="L150" s="143"/>
      <c r="M150" s="143"/>
      <c r="N150" s="177"/>
      <c r="O150" s="194"/>
    </row>
    <row r="151" spans="2:15" ht="14.4" thickBot="1">
      <c r="B151" s="193"/>
      <c r="C151" s="384" t="s">
        <v>55</v>
      </c>
      <c r="D151" s="385"/>
      <c r="E151" s="155"/>
      <c r="F151" s="156"/>
      <c r="G151" s="147"/>
      <c r="H151" s="143"/>
      <c r="I151" s="144"/>
      <c r="J151" s="143"/>
      <c r="K151" s="143"/>
      <c r="L151" s="143"/>
      <c r="M151" s="143"/>
      <c r="N151" s="177"/>
      <c r="O151" s="194"/>
    </row>
    <row r="152" spans="2:15" ht="14.4" thickBot="1">
      <c r="B152" s="193"/>
      <c r="C152" s="388" t="s">
        <v>56</v>
      </c>
      <c r="D152" s="389"/>
      <c r="E152" s="155"/>
      <c r="F152" s="156"/>
      <c r="G152" s="147"/>
      <c r="H152" s="143"/>
      <c r="I152" s="144"/>
      <c r="J152" s="143"/>
      <c r="K152" s="143"/>
      <c r="L152" s="143"/>
      <c r="M152" s="143"/>
      <c r="N152" s="177"/>
      <c r="O152" s="194"/>
    </row>
    <row r="153" spans="2:15" ht="14.4" thickBot="1">
      <c r="B153" s="193"/>
      <c r="C153" s="384" t="s">
        <v>57</v>
      </c>
      <c r="D153" s="385"/>
      <c r="E153" s="155"/>
      <c r="F153" s="156"/>
      <c r="G153" s="147"/>
      <c r="H153" s="143"/>
      <c r="I153" s="144"/>
      <c r="J153" s="143"/>
      <c r="K153" s="143"/>
      <c r="L153" s="143"/>
      <c r="M153" s="143"/>
      <c r="N153" s="177"/>
      <c r="O153" s="194"/>
    </row>
    <row r="154" spans="2:15" ht="14.4" thickBot="1">
      <c r="B154" s="193"/>
      <c r="C154" s="386" t="s">
        <v>26</v>
      </c>
      <c r="D154" s="387"/>
      <c r="E154" s="310" t="s">
        <v>176</v>
      </c>
      <c r="F154" s="156"/>
      <c r="G154" s="147"/>
      <c r="H154" s="143">
        <v>50000</v>
      </c>
      <c r="I154" s="144"/>
      <c r="J154" s="143"/>
      <c r="K154" s="143"/>
      <c r="L154" s="143"/>
      <c r="M154" s="143"/>
      <c r="N154" s="177"/>
      <c r="O154" s="194"/>
    </row>
    <row r="155" spans="2:15" ht="14.4" thickBot="1">
      <c r="B155" s="200"/>
      <c r="C155" s="159"/>
      <c r="D155" s="159"/>
      <c r="E155" s="159"/>
      <c r="F155" s="159"/>
      <c r="G155" s="159"/>
      <c r="H155" s="159"/>
      <c r="I155" s="159"/>
      <c r="J155" s="159"/>
      <c r="K155" s="159"/>
      <c r="L155" s="159"/>
      <c r="M155" s="159"/>
      <c r="N155" s="159"/>
      <c r="O155" s="201"/>
    </row>
    <row r="156" spans="3:9" ht="12.75" customHeight="1" thickBot="1" thickTop="1">
      <c r="C156" s="103"/>
      <c r="D156" s="103"/>
      <c r="E156" s="103"/>
      <c r="F156" s="103"/>
      <c r="G156" s="103"/>
      <c r="H156" s="103"/>
      <c r="I156" s="103"/>
    </row>
    <row r="157" spans="2:15" ht="18" thickTop="1">
      <c r="B157" s="191"/>
      <c r="C157" s="119" t="s">
        <v>95</v>
      </c>
      <c r="D157" s="120"/>
      <c r="E157" s="120"/>
      <c r="F157" s="120"/>
      <c r="G157" s="120"/>
      <c r="H157" s="120"/>
      <c r="I157" s="120"/>
      <c r="J157" s="108"/>
      <c r="K157" s="108"/>
      <c r="L157" s="108"/>
      <c r="M157" s="108"/>
      <c r="N157" s="108"/>
      <c r="O157" s="192"/>
    </row>
    <row r="158" spans="2:15" ht="11.25" customHeight="1">
      <c r="B158" s="193"/>
      <c r="C158" s="122"/>
      <c r="D158" s="118"/>
      <c r="E158" s="118"/>
      <c r="F158" s="118"/>
      <c r="G158" s="118"/>
      <c r="H158" s="118"/>
      <c r="I158" s="118"/>
      <c r="J158" s="109"/>
      <c r="K158" s="109"/>
      <c r="L158" s="109"/>
      <c r="M158" s="109"/>
      <c r="N158" s="109"/>
      <c r="O158" s="194"/>
    </row>
    <row r="159" spans="2:17" ht="48" customHeight="1">
      <c r="B159" s="193"/>
      <c r="C159" s="361" t="s">
        <v>99</v>
      </c>
      <c r="D159" s="361"/>
      <c r="E159" s="361"/>
      <c r="F159" s="361"/>
      <c r="G159" s="361"/>
      <c r="H159" s="361"/>
      <c r="I159" s="361"/>
      <c r="J159" s="361"/>
      <c r="K159" s="361"/>
      <c r="L159" s="361"/>
      <c r="M159" s="361"/>
      <c r="N159" s="164"/>
      <c r="O159" s="207"/>
      <c r="P159" s="208"/>
      <c r="Q159" s="208"/>
    </row>
    <row r="160" spans="2:17" ht="15" customHeight="1">
      <c r="B160" s="193"/>
      <c r="C160" s="361" t="s">
        <v>128</v>
      </c>
      <c r="D160" s="361"/>
      <c r="E160" s="361"/>
      <c r="F160" s="361"/>
      <c r="G160" s="361"/>
      <c r="H160" s="361"/>
      <c r="I160" s="361"/>
      <c r="J160" s="361"/>
      <c r="K160" s="361"/>
      <c r="L160" s="361"/>
      <c r="M160" s="361"/>
      <c r="N160" s="164"/>
      <c r="O160" s="207"/>
      <c r="P160" s="208"/>
      <c r="Q160" s="208"/>
    </row>
    <row r="161" spans="2:15" ht="14.4" thickBot="1">
      <c r="B161" s="193"/>
      <c r="C161" s="112"/>
      <c r="D161" s="112"/>
      <c r="E161" s="112"/>
      <c r="F161" s="112"/>
      <c r="G161" s="112"/>
      <c r="H161" s="112"/>
      <c r="I161" s="112"/>
      <c r="J161" s="114"/>
      <c r="K161" s="114"/>
      <c r="L161" s="114"/>
      <c r="M161" s="114"/>
      <c r="N161" s="114"/>
      <c r="O161" s="194"/>
    </row>
    <row r="162" spans="2:15" ht="14.4" thickBot="1">
      <c r="B162" s="193"/>
      <c r="C162" s="226" t="s">
        <v>104</v>
      </c>
      <c r="D162" s="112"/>
      <c r="E162" s="112"/>
      <c r="F162" s="153" t="s">
        <v>44</v>
      </c>
      <c r="G162" s="112"/>
      <c r="H162" s="112"/>
      <c r="I162" s="112"/>
      <c r="J162" s="114"/>
      <c r="K162" s="114"/>
      <c r="L162" s="114"/>
      <c r="M162" s="114"/>
      <c r="N162" s="114"/>
      <c r="O162" s="194"/>
    </row>
    <row r="163" spans="2:15" ht="14.4" thickBot="1">
      <c r="B163" s="193"/>
      <c r="C163" s="226" t="s">
        <v>121</v>
      </c>
      <c r="D163" s="112"/>
      <c r="E163" s="112"/>
      <c r="F163" s="153" t="s">
        <v>44</v>
      </c>
      <c r="G163" s="112"/>
      <c r="H163" s="112"/>
      <c r="I163" s="112"/>
      <c r="J163" s="114"/>
      <c r="K163" s="114"/>
      <c r="L163" s="114"/>
      <c r="M163" s="114"/>
      <c r="N163" s="114"/>
      <c r="O163" s="194"/>
    </row>
    <row r="164" spans="2:15" ht="14.25" customHeight="1">
      <c r="B164" s="193"/>
      <c r="C164" s="112"/>
      <c r="D164" s="112"/>
      <c r="E164" s="112"/>
      <c r="F164" s="112"/>
      <c r="G164" s="112"/>
      <c r="H164" s="112"/>
      <c r="I164" s="112"/>
      <c r="J164" s="114"/>
      <c r="K164" s="114"/>
      <c r="L164" s="114"/>
      <c r="M164" s="114"/>
      <c r="N164" s="114"/>
      <c r="O164" s="194"/>
    </row>
    <row r="165" spans="2:15" ht="14.25" customHeight="1">
      <c r="B165" s="193"/>
      <c r="C165" s="112"/>
      <c r="D165" s="112"/>
      <c r="E165" s="112"/>
      <c r="F165" s="112"/>
      <c r="G165" s="112"/>
      <c r="H165" s="112"/>
      <c r="I165" s="112"/>
      <c r="J165" s="271" t="s">
        <v>127</v>
      </c>
      <c r="K165" s="271"/>
      <c r="L165" s="271"/>
      <c r="M165" s="114"/>
      <c r="N165" s="114"/>
      <c r="O165" s="194"/>
    </row>
    <row r="166" spans="2:15" ht="13.8">
      <c r="B166" s="193"/>
      <c r="C166" s="396" t="s">
        <v>18</v>
      </c>
      <c r="D166" s="396" t="s">
        <v>39</v>
      </c>
      <c r="E166" s="397" t="s">
        <v>23</v>
      </c>
      <c r="F166" s="397"/>
      <c r="G166" s="266">
        <f>G81</f>
        <v>2017</v>
      </c>
      <c r="H166" s="267">
        <f>IF(OR(G19=2013,G19=2015,G19=2017,G19=2019),G19+1,"NA")</f>
        <v>2018</v>
      </c>
      <c r="I166" s="267"/>
      <c r="J166" s="271" t="s">
        <v>125</v>
      </c>
      <c r="K166" s="271"/>
      <c r="L166" s="271"/>
      <c r="M166" s="114"/>
      <c r="N166" s="114"/>
      <c r="O166" s="194"/>
    </row>
    <row r="167" spans="2:15" ht="28.2" thickBot="1">
      <c r="B167" s="193"/>
      <c r="C167" s="379"/>
      <c r="D167" s="379"/>
      <c r="E167" s="398"/>
      <c r="F167" s="398"/>
      <c r="G167" s="268" t="s">
        <v>24</v>
      </c>
      <c r="H167" s="268" t="str">
        <f>IF(H166="NA"," ","Allocation Change")</f>
        <v>Allocation Change</v>
      </c>
      <c r="I167" s="268"/>
      <c r="J167" s="272" t="s">
        <v>126</v>
      </c>
      <c r="K167" s="272"/>
      <c r="L167" s="272"/>
      <c r="M167" s="114"/>
      <c r="N167" s="114"/>
      <c r="O167" s="194"/>
    </row>
    <row r="168" spans="2:15" ht="14.4" thickBot="1">
      <c r="B168" s="193"/>
      <c r="C168" s="148" t="s">
        <v>153</v>
      </c>
      <c r="D168" s="152" t="s">
        <v>173</v>
      </c>
      <c r="E168" s="345" t="s">
        <v>201</v>
      </c>
      <c r="F168" s="346"/>
      <c r="G168" s="154"/>
      <c r="H168" s="317"/>
      <c r="I168" s="301"/>
      <c r="J168" s="317">
        <f>I88+J88</f>
        <v>0</v>
      </c>
      <c r="K168" s="272"/>
      <c r="L168" s="272"/>
      <c r="M168" s="114"/>
      <c r="N168" s="114"/>
      <c r="O168" s="194"/>
    </row>
    <row r="169" spans="2:15" ht="27.45" customHeight="1" thickBot="1">
      <c r="B169" s="193"/>
      <c r="C169" s="148" t="s">
        <v>153</v>
      </c>
      <c r="D169" s="152" t="s">
        <v>171</v>
      </c>
      <c r="E169" s="349" t="s">
        <v>202</v>
      </c>
      <c r="F169" s="350"/>
      <c r="G169" s="317">
        <f>G99</f>
        <v>9700000</v>
      </c>
      <c r="H169" s="317">
        <f>H99</f>
        <v>0</v>
      </c>
      <c r="I169" s="301"/>
      <c r="J169" s="154"/>
      <c r="K169" s="272"/>
      <c r="L169" s="272"/>
      <c r="M169" s="114"/>
      <c r="N169" s="114"/>
      <c r="O169" s="194"/>
    </row>
    <row r="170" spans="2:15" ht="40.95" customHeight="1" thickBot="1">
      <c r="B170" s="193"/>
      <c r="C170" s="148" t="s">
        <v>153</v>
      </c>
      <c r="D170" s="152" t="s">
        <v>172</v>
      </c>
      <c r="E170" s="349" t="s">
        <v>203</v>
      </c>
      <c r="F170" s="350"/>
      <c r="G170" s="317"/>
      <c r="H170" s="317">
        <f>H110-500104</f>
        <v>2699896</v>
      </c>
      <c r="I170" s="301"/>
      <c r="J170" s="154"/>
      <c r="K170" s="272"/>
      <c r="L170" s="272"/>
      <c r="M170" s="114"/>
      <c r="N170" s="114"/>
      <c r="O170" s="194"/>
    </row>
    <row r="171" spans="2:15" ht="14.4" thickBot="1">
      <c r="B171" s="193"/>
      <c r="C171" s="148"/>
      <c r="D171" s="152"/>
      <c r="E171" s="345"/>
      <c r="F171" s="346"/>
      <c r="G171" s="154"/>
      <c r="H171" s="154"/>
      <c r="I171" s="301"/>
      <c r="J171" s="317">
        <f>I121</f>
        <v>0</v>
      </c>
      <c r="K171" s="272"/>
      <c r="L171" s="272"/>
      <c r="M171" s="114"/>
      <c r="N171" s="114"/>
      <c r="O171" s="194"/>
    </row>
    <row r="172" spans="2:15" ht="14.4" thickBot="1">
      <c r="B172" s="193"/>
      <c r="C172" s="148" t="s">
        <v>153</v>
      </c>
      <c r="D172" s="152">
        <v>1131130</v>
      </c>
      <c r="E172" s="345" t="s">
        <v>199</v>
      </c>
      <c r="F172" s="346"/>
      <c r="G172" s="317">
        <f>G132</f>
        <v>0</v>
      </c>
      <c r="H172" s="317">
        <f>H132</f>
        <v>0</v>
      </c>
      <c r="I172" s="301"/>
      <c r="J172" s="317">
        <f>I132</f>
        <v>0</v>
      </c>
      <c r="K172" s="272"/>
      <c r="L172" s="272"/>
      <c r="M172" s="114"/>
      <c r="N172" s="114"/>
      <c r="O172" s="194"/>
    </row>
    <row r="173" spans="2:15" ht="14.4" thickBot="1">
      <c r="B173" s="193"/>
      <c r="C173" s="148"/>
      <c r="D173" s="152"/>
      <c r="E173" s="345"/>
      <c r="F173" s="146"/>
      <c r="G173" s="154"/>
      <c r="H173" s="154"/>
      <c r="I173" s="301"/>
      <c r="J173" s="317"/>
      <c r="K173" s="272"/>
      <c r="L173" s="272"/>
      <c r="M173" s="114"/>
      <c r="N173" s="114"/>
      <c r="O173" s="194"/>
    </row>
    <row r="174" spans="2:15" ht="13.8" thickBot="1">
      <c r="B174" s="200"/>
      <c r="C174" s="116"/>
      <c r="D174" s="116"/>
      <c r="E174" s="116"/>
      <c r="F174" s="116"/>
      <c r="G174" s="116"/>
      <c r="H174" s="116"/>
      <c r="I174" s="116"/>
      <c r="J174" s="117"/>
      <c r="K174" s="117"/>
      <c r="L174" s="117"/>
      <c r="M174" s="117"/>
      <c r="N174" s="117"/>
      <c r="O174" s="201"/>
    </row>
    <row r="175" spans="3:9" ht="18.6" thickBot="1" thickTop="1">
      <c r="C175" s="104"/>
      <c r="D175" s="103"/>
      <c r="E175" s="103"/>
      <c r="F175" s="103"/>
      <c r="G175" s="347"/>
      <c r="H175" s="103"/>
      <c r="I175" s="347"/>
    </row>
    <row r="176" spans="2:15" ht="18.6" thickBot="1" thickTop="1">
      <c r="B176" s="191"/>
      <c r="C176" s="119" t="s">
        <v>100</v>
      </c>
      <c r="D176" s="120"/>
      <c r="E176" s="120"/>
      <c r="F176" s="120"/>
      <c r="G176" s="120"/>
      <c r="H176" s="120"/>
      <c r="I176" s="120"/>
      <c r="J176" s="108"/>
      <c r="K176" s="108"/>
      <c r="L176" s="108"/>
      <c r="M176" s="108"/>
      <c r="N176" s="108"/>
      <c r="O176" s="192"/>
    </row>
    <row r="177" spans="2:15" ht="15" customHeight="1" thickBot="1">
      <c r="B177" s="193"/>
      <c r="C177" s="226" t="s">
        <v>119</v>
      </c>
      <c r="D177" s="118"/>
      <c r="E177" s="118"/>
      <c r="F177" s="153" t="s">
        <v>43</v>
      </c>
      <c r="G177" s="118"/>
      <c r="H177" s="118"/>
      <c r="I177" s="118"/>
      <c r="J177" s="109"/>
      <c r="K177" s="109"/>
      <c r="L177" s="109"/>
      <c r="M177" s="109"/>
      <c r="N177" s="109"/>
      <c r="O177" s="194"/>
    </row>
    <row r="178" spans="2:15" ht="15" customHeight="1" thickBot="1">
      <c r="B178" s="193"/>
      <c r="C178" s="226" t="s">
        <v>120</v>
      </c>
      <c r="D178" s="112"/>
      <c r="E178" s="112"/>
      <c r="F178" s="153" t="s">
        <v>44</v>
      </c>
      <c r="G178" s="118"/>
      <c r="H178" s="118"/>
      <c r="I178" s="118"/>
      <c r="J178" s="109"/>
      <c r="K178" s="109"/>
      <c r="L178" s="109"/>
      <c r="M178" s="109"/>
      <c r="N178" s="109"/>
      <c r="O178" s="194"/>
    </row>
    <row r="179" spans="2:15" ht="15" customHeight="1" thickBot="1">
      <c r="B179" s="193"/>
      <c r="C179" s="226" t="s">
        <v>107</v>
      </c>
      <c r="D179" s="112"/>
      <c r="E179" s="112"/>
      <c r="F179" s="153" t="s">
        <v>44</v>
      </c>
      <c r="G179" s="118"/>
      <c r="H179" s="118"/>
      <c r="I179" s="118"/>
      <c r="J179" s="109"/>
      <c r="K179" s="109"/>
      <c r="L179" s="109"/>
      <c r="M179" s="109"/>
      <c r="N179" s="109"/>
      <c r="O179" s="194"/>
    </row>
    <row r="180" spans="2:15" ht="15" customHeight="1" thickBot="1">
      <c r="B180" s="193"/>
      <c r="C180" s="226" t="s">
        <v>106</v>
      </c>
      <c r="D180" s="112"/>
      <c r="E180" s="112"/>
      <c r="F180" s="153" t="s">
        <v>44</v>
      </c>
      <c r="G180" s="118"/>
      <c r="H180" s="118"/>
      <c r="I180" s="118"/>
      <c r="J180" s="109"/>
      <c r="K180" s="109"/>
      <c r="L180" s="109"/>
      <c r="M180" s="109"/>
      <c r="N180" s="109"/>
      <c r="O180" s="194"/>
    </row>
    <row r="181" spans="2:15" ht="15" customHeight="1" thickBot="1">
      <c r="B181" s="193"/>
      <c r="C181" s="226" t="s">
        <v>108</v>
      </c>
      <c r="D181" s="112"/>
      <c r="E181" s="112"/>
      <c r="F181" s="178" t="s">
        <v>44</v>
      </c>
      <c r="G181" s="118"/>
      <c r="H181" s="118"/>
      <c r="I181" s="118"/>
      <c r="J181" s="109"/>
      <c r="K181" s="109"/>
      <c r="L181" s="109"/>
      <c r="M181" s="109"/>
      <c r="N181" s="109"/>
      <c r="O181" s="194"/>
    </row>
    <row r="182" spans="2:15" ht="15" customHeight="1" thickBot="1">
      <c r="B182" s="193"/>
      <c r="C182" s="226" t="s">
        <v>105</v>
      </c>
      <c r="D182" s="118"/>
      <c r="E182" s="118"/>
      <c r="F182" s="399" t="s">
        <v>138</v>
      </c>
      <c r="G182" s="400"/>
      <c r="H182" s="400"/>
      <c r="I182" s="400"/>
      <c r="J182" s="400"/>
      <c r="K182" s="400"/>
      <c r="L182" s="400"/>
      <c r="M182" s="400"/>
      <c r="N182" s="401"/>
      <c r="O182" s="194"/>
    </row>
    <row r="183" spans="2:15" ht="15" customHeight="1">
      <c r="B183" s="193"/>
      <c r="C183" s="122"/>
      <c r="D183" s="118"/>
      <c r="E183" s="118"/>
      <c r="F183" s="118"/>
      <c r="G183" s="118"/>
      <c r="H183" s="118"/>
      <c r="I183" s="118"/>
      <c r="J183" s="109"/>
      <c r="K183" s="109"/>
      <c r="L183" s="109"/>
      <c r="M183" s="109"/>
      <c r="N183" s="109"/>
      <c r="O183" s="194"/>
    </row>
    <row r="184" spans="2:15" ht="135.9" customHeight="1" thickBot="1">
      <c r="B184" s="193"/>
      <c r="C184" s="361" t="s">
        <v>142</v>
      </c>
      <c r="D184" s="361"/>
      <c r="E184" s="361"/>
      <c r="F184" s="361"/>
      <c r="G184" s="361"/>
      <c r="H184" s="361"/>
      <c r="I184" s="361"/>
      <c r="J184" s="361"/>
      <c r="K184" s="361"/>
      <c r="L184" s="361"/>
      <c r="M184" s="361"/>
      <c r="N184" s="164"/>
      <c r="O184" s="207"/>
    </row>
    <row r="185" spans="2:15" ht="34.5" customHeight="1" thickBot="1">
      <c r="B185" s="193"/>
      <c r="C185" s="402" t="s">
        <v>178</v>
      </c>
      <c r="D185" s="403"/>
      <c r="E185" s="403"/>
      <c r="F185" s="403"/>
      <c r="G185" s="403"/>
      <c r="H185" s="403"/>
      <c r="I185" s="403"/>
      <c r="J185" s="403"/>
      <c r="K185" s="403"/>
      <c r="L185" s="403"/>
      <c r="M185" s="403"/>
      <c r="N185" s="404"/>
      <c r="O185" s="207"/>
    </row>
    <row r="186" spans="2:15" ht="45.6" customHeight="1" thickBot="1">
      <c r="B186" s="193"/>
      <c r="C186" s="405" t="s">
        <v>200</v>
      </c>
      <c r="D186" s="406"/>
      <c r="E186" s="406"/>
      <c r="F186" s="406"/>
      <c r="G186" s="406"/>
      <c r="H186" s="406"/>
      <c r="I186" s="406"/>
      <c r="J186" s="406"/>
      <c r="K186" s="406"/>
      <c r="L186" s="406"/>
      <c r="M186" s="406"/>
      <c r="N186" s="407"/>
      <c r="O186" s="207"/>
    </row>
    <row r="187" spans="2:15" ht="34.5" customHeight="1" thickBot="1">
      <c r="B187" s="193"/>
      <c r="C187" s="405" t="s">
        <v>179</v>
      </c>
      <c r="D187" s="406"/>
      <c r="E187" s="406"/>
      <c r="F187" s="406"/>
      <c r="G187" s="406"/>
      <c r="H187" s="406"/>
      <c r="I187" s="406"/>
      <c r="J187" s="406"/>
      <c r="K187" s="406"/>
      <c r="L187" s="406"/>
      <c r="M187" s="406"/>
      <c r="N187" s="407"/>
      <c r="O187" s="207"/>
    </row>
    <row r="188" spans="2:15" ht="34.5" customHeight="1" thickBot="1">
      <c r="B188" s="193"/>
      <c r="C188" s="408"/>
      <c r="D188" s="409"/>
      <c r="E188" s="409"/>
      <c r="F188" s="409"/>
      <c r="G188" s="409"/>
      <c r="H188" s="409"/>
      <c r="I188" s="409"/>
      <c r="J188" s="409"/>
      <c r="K188" s="409"/>
      <c r="L188" s="409"/>
      <c r="M188" s="409"/>
      <c r="N188" s="410"/>
      <c r="O188" s="207"/>
    </row>
    <row r="189" spans="2:15" ht="34.5" customHeight="1" thickBot="1">
      <c r="B189" s="193"/>
      <c r="C189" s="405" t="s">
        <v>180</v>
      </c>
      <c r="D189" s="406"/>
      <c r="E189" s="406"/>
      <c r="F189" s="406"/>
      <c r="G189" s="406"/>
      <c r="H189" s="406"/>
      <c r="I189" s="406"/>
      <c r="J189" s="406"/>
      <c r="K189" s="406"/>
      <c r="L189" s="406"/>
      <c r="M189" s="406"/>
      <c r="N189" s="407"/>
      <c r="O189" s="207"/>
    </row>
    <row r="190" spans="2:15" ht="19.5" customHeight="1">
      <c r="B190" s="193"/>
      <c r="C190" s="122"/>
      <c r="D190" s="118"/>
      <c r="E190" s="118"/>
      <c r="F190" s="118"/>
      <c r="G190" s="118"/>
      <c r="H190" s="118"/>
      <c r="I190" s="118"/>
      <c r="J190" s="109"/>
      <c r="K190" s="109"/>
      <c r="L190" s="109"/>
      <c r="M190" s="109"/>
      <c r="N190" s="109"/>
      <c r="O190" s="194"/>
    </row>
    <row r="191" spans="2:15" ht="18.75" customHeight="1">
      <c r="B191" s="193"/>
      <c r="C191" s="361" t="s">
        <v>131</v>
      </c>
      <c r="D191" s="361"/>
      <c r="E191" s="361"/>
      <c r="F191" s="361"/>
      <c r="G191" s="361"/>
      <c r="H191" s="361"/>
      <c r="I191" s="361"/>
      <c r="J191" s="361"/>
      <c r="K191" s="361"/>
      <c r="L191" s="361"/>
      <c r="M191" s="361"/>
      <c r="N191" s="109"/>
      <c r="O191" s="194"/>
    </row>
    <row r="192" spans="2:15" ht="14.4" thickBot="1">
      <c r="B192" s="200"/>
      <c r="C192" s="127"/>
      <c r="D192" s="127"/>
      <c r="E192" s="127"/>
      <c r="F192" s="127"/>
      <c r="G192" s="127"/>
      <c r="H192" s="127"/>
      <c r="I192" s="127"/>
      <c r="J192" s="128"/>
      <c r="K192" s="128"/>
      <c r="L192" s="128"/>
      <c r="M192" s="128"/>
      <c r="N192" s="128"/>
      <c r="O192" s="201"/>
    </row>
    <row r="193" spans="3:9" ht="13.8" thickTop="1">
      <c r="C193" s="103"/>
      <c r="D193" s="103"/>
      <c r="E193" s="103"/>
      <c r="F193" s="103"/>
      <c r="G193" s="103"/>
      <c r="H193" s="103"/>
      <c r="I193" s="103"/>
    </row>
    <row r="194" spans="3:9" ht="12.75">
      <c r="C194" s="103"/>
      <c r="D194" s="103"/>
      <c r="E194" s="103"/>
      <c r="F194" s="103"/>
      <c r="G194" s="103"/>
      <c r="H194" s="103"/>
      <c r="I194" s="103"/>
    </row>
    <row r="195" spans="3:9" ht="12.75">
      <c r="C195" s="103"/>
      <c r="D195" s="103"/>
      <c r="E195" s="103"/>
      <c r="F195" s="103"/>
      <c r="G195" s="103"/>
      <c r="H195" s="103"/>
      <c r="I195" s="103"/>
    </row>
    <row r="196" spans="3:9" ht="12.75">
      <c r="C196" s="103"/>
      <c r="D196" s="103"/>
      <c r="E196" s="103"/>
      <c r="F196" s="103"/>
      <c r="G196" s="103"/>
      <c r="H196" s="103"/>
      <c r="I196" s="103"/>
    </row>
    <row r="197" spans="3:9" ht="12.75">
      <c r="C197" s="103"/>
      <c r="D197" s="103"/>
      <c r="E197" s="103"/>
      <c r="F197" s="103"/>
      <c r="G197" s="103"/>
      <c r="H197" s="103"/>
      <c r="I197" s="103"/>
    </row>
    <row r="198" spans="3:9" ht="12.75">
      <c r="C198" s="103"/>
      <c r="D198" s="103"/>
      <c r="E198" s="103"/>
      <c r="F198" s="103"/>
      <c r="G198" s="103"/>
      <c r="H198" s="103"/>
      <c r="I198" s="103"/>
    </row>
    <row r="199" spans="3:9" ht="12.75">
      <c r="C199" s="103"/>
      <c r="D199" s="103"/>
      <c r="E199" s="103"/>
      <c r="F199" s="103"/>
      <c r="G199" s="103"/>
      <c r="H199" s="103"/>
      <c r="I199" s="103"/>
    </row>
    <row r="200" spans="3:9" ht="12.75">
      <c r="C200" s="103"/>
      <c r="D200" s="103"/>
      <c r="E200" s="103"/>
      <c r="F200" s="103"/>
      <c r="G200" s="103"/>
      <c r="H200" s="103"/>
      <c r="I200" s="103"/>
    </row>
    <row r="201" spans="3:9" ht="12.75">
      <c r="C201" s="103"/>
      <c r="D201" s="103"/>
      <c r="E201" s="103"/>
      <c r="F201" s="103"/>
      <c r="G201" s="103"/>
      <c r="H201" s="103"/>
      <c r="I201" s="103"/>
    </row>
    <row r="202" spans="3:9" ht="12.75">
      <c r="C202" s="103"/>
      <c r="D202" s="103"/>
      <c r="E202" s="103"/>
      <c r="F202" s="103"/>
      <c r="G202" s="103"/>
      <c r="H202" s="103"/>
      <c r="I202" s="103"/>
    </row>
    <row r="203" spans="3:9" ht="12.75">
      <c r="C203" s="103"/>
      <c r="D203" s="103"/>
      <c r="E203" s="103"/>
      <c r="F203" s="103"/>
      <c r="G203" s="103"/>
      <c r="H203" s="103"/>
      <c r="I203" s="103"/>
    </row>
    <row r="204" spans="3:9" ht="12.75">
      <c r="C204" s="103"/>
      <c r="D204" s="103"/>
      <c r="E204" s="103"/>
      <c r="F204" s="103"/>
      <c r="G204" s="103"/>
      <c r="H204" s="103"/>
      <c r="I204" s="103"/>
    </row>
    <row r="205" spans="3:9" ht="12.75">
      <c r="C205" s="103"/>
      <c r="D205" s="103"/>
      <c r="E205" s="103"/>
      <c r="F205" s="103"/>
      <c r="G205" s="103"/>
      <c r="H205" s="103"/>
      <c r="I205" s="103"/>
    </row>
    <row r="206" spans="3:9" ht="12.75">
      <c r="C206" s="103"/>
      <c r="D206" s="103"/>
      <c r="E206" s="103"/>
      <c r="F206" s="103"/>
      <c r="G206" s="103"/>
      <c r="H206" s="103"/>
      <c r="I206" s="103"/>
    </row>
    <row r="207" spans="3:17" ht="12.75">
      <c r="C207" s="210" t="s">
        <v>150</v>
      </c>
      <c r="D207" s="211"/>
      <c r="E207" s="211"/>
      <c r="F207" s="211"/>
      <c r="G207" s="211"/>
      <c r="H207" s="211"/>
      <c r="I207" s="211"/>
      <c r="J207" s="212"/>
      <c r="K207" s="212"/>
      <c r="L207" s="212"/>
      <c r="M207" s="212"/>
      <c r="N207" s="212"/>
      <c r="O207" s="212"/>
      <c r="P207" s="212"/>
      <c r="Q207" s="212"/>
    </row>
    <row r="208" spans="3:17" ht="12.75">
      <c r="C208" s="211" t="str">
        <f>IF(F178="N","The transaction is not backed by new revenue. ","The transaction is backed by new revenue. ")</f>
        <v xml:space="preserve">The transaction is not backed by new revenue. </v>
      </c>
      <c r="D208" s="211"/>
      <c r="E208" s="211"/>
      <c r="F208" s="211"/>
      <c r="G208" s="211"/>
      <c r="H208" s="211"/>
      <c r="I208" s="211"/>
      <c r="J208" s="212"/>
      <c r="K208" s="212"/>
      <c r="L208" s="212"/>
      <c r="M208" s="212"/>
      <c r="N208" s="212"/>
      <c r="O208" s="212"/>
      <c r="P208" s="212"/>
      <c r="Q208" s="212"/>
    </row>
    <row r="209" spans="3:17" ht="12.75">
      <c r="C209" s="210" t="str">
        <f>IF(F178="N","",IF(F179="N","The new revenue does not include grant revenue. ","The new revenue includes grant revenue. "))</f>
        <v/>
      </c>
      <c r="D209" s="211"/>
      <c r="E209" s="211"/>
      <c r="F209" s="211"/>
      <c r="G209" s="211"/>
      <c r="H209" s="211"/>
      <c r="I209" s="211"/>
      <c r="J209" s="212"/>
      <c r="K209" s="212"/>
      <c r="L209" s="212"/>
      <c r="M209" s="212"/>
      <c r="N209" s="212"/>
      <c r="O209" s="212"/>
      <c r="P209" s="212"/>
      <c r="Q209" s="212"/>
    </row>
    <row r="210" spans="3:17" ht="12.75">
      <c r="C210" s="210" t="str">
        <f>IF(F178="N"," ",IF(F179="N"," ",IF(F180="N","The grant has not been awarded. ","The grant has been awarded. ")))</f>
        <v xml:space="preserve"> </v>
      </c>
      <c r="D210" s="211"/>
      <c r="E210" s="211"/>
      <c r="F210" s="211"/>
      <c r="G210" s="211"/>
      <c r="H210" s="211"/>
      <c r="I210" s="211"/>
      <c r="J210" s="212"/>
      <c r="K210" s="212"/>
      <c r="L210" s="212"/>
      <c r="M210" s="212"/>
      <c r="N210" s="212"/>
      <c r="O210" s="212"/>
      <c r="P210" s="212"/>
      <c r="Q210" s="212"/>
    </row>
    <row r="211" spans="3:17" ht="12.75">
      <c r="C211" s="211" t="str">
        <f>IF(F178="N"," ",IF(F181="N","The new revenue has not been received. ","The new revenue has been received. "))</f>
        <v xml:space="preserve"> </v>
      </c>
      <c r="D211" s="211"/>
      <c r="E211" s="211"/>
      <c r="F211" s="211"/>
      <c r="G211" s="211"/>
      <c r="H211" s="211"/>
      <c r="I211" s="211"/>
      <c r="J211" s="212"/>
      <c r="K211" s="212"/>
      <c r="L211" s="212"/>
      <c r="M211" s="212"/>
      <c r="N211" s="212"/>
      <c r="O211" s="212"/>
      <c r="P211" s="212"/>
      <c r="Q211" s="212"/>
    </row>
    <row r="212" spans="3:17" ht="12.75">
      <c r="C212" s="210" t="str">
        <f>IF(F178="N"," ",IF(F181="N",F182," "))</f>
        <v xml:space="preserve"> </v>
      </c>
      <c r="D212" s="211"/>
      <c r="E212" s="211"/>
      <c r="F212" s="211"/>
      <c r="G212" s="211"/>
      <c r="H212" s="211"/>
      <c r="I212" s="211"/>
      <c r="J212" s="212"/>
      <c r="K212" s="212"/>
      <c r="L212" s="212"/>
      <c r="M212" s="212"/>
      <c r="N212" s="212"/>
      <c r="O212" s="212"/>
      <c r="P212" s="212"/>
      <c r="Q212" s="212"/>
    </row>
    <row r="213" spans="3:17" ht="12.75">
      <c r="C213" s="210" t="s">
        <v>109</v>
      </c>
      <c r="D213" s="211"/>
      <c r="E213" s="211"/>
      <c r="F213" s="211"/>
      <c r="G213" s="211"/>
      <c r="H213" s="211"/>
      <c r="I213" s="211"/>
      <c r="J213" s="212"/>
      <c r="K213" s="212"/>
      <c r="L213" s="212"/>
      <c r="M213" s="212"/>
      <c r="N213" s="212"/>
      <c r="O213" s="212"/>
      <c r="P213" s="212"/>
      <c r="Q213" s="212"/>
    </row>
    <row r="214" spans="3:17" ht="11.25" customHeight="1">
      <c r="C214" s="395"/>
      <c r="D214" s="395"/>
      <c r="E214" s="395"/>
      <c r="F214" s="395"/>
      <c r="G214" s="395"/>
      <c r="H214" s="395"/>
      <c r="I214" s="395"/>
      <c r="J214" s="395"/>
      <c r="K214" s="395"/>
      <c r="L214" s="395"/>
      <c r="M214" s="395"/>
      <c r="N214" s="395"/>
      <c r="O214" s="395"/>
      <c r="P214" s="395"/>
      <c r="Q214" s="395"/>
    </row>
    <row r="215" spans="3:17" ht="12.75">
      <c r="C215" s="211"/>
      <c r="D215" s="211"/>
      <c r="E215" s="211"/>
      <c r="F215" s="211"/>
      <c r="G215" s="211"/>
      <c r="H215" s="211"/>
      <c r="I215" s="211"/>
      <c r="J215" s="212"/>
      <c r="K215" s="212"/>
      <c r="L215" s="212"/>
      <c r="M215" s="212"/>
      <c r="N215" s="212"/>
      <c r="O215" s="212"/>
      <c r="P215" s="212"/>
      <c r="Q215" s="212"/>
    </row>
    <row r="216" spans="3:17" ht="12.75">
      <c r="C216" s="213" t="str">
        <f>G29</f>
        <v>1028624</v>
      </c>
      <c r="D216" s="210" t="s">
        <v>43</v>
      </c>
      <c r="E216" s="211" t="str">
        <f>IF(D52="Y",CONCATENATE(F52," in fund balance is being used to cover indicated expenditures.  "),"")</f>
        <v/>
      </c>
      <c r="F216" s="211"/>
      <c r="G216" s="211"/>
      <c r="H216" s="211"/>
      <c r="I216" s="211"/>
      <c r="J216" s="212"/>
      <c r="K216" s="212"/>
      <c r="L216" s="212"/>
      <c r="M216" s="212"/>
      <c r="N216" s="212"/>
      <c r="O216" s="212"/>
      <c r="P216" s="212"/>
      <c r="Q216" s="212"/>
    </row>
    <row r="217" spans="3:17" ht="12.75">
      <c r="C217" s="213" t="str">
        <f>H29</f>
        <v>1128646</v>
      </c>
      <c r="D217" s="210" t="s">
        <v>44</v>
      </c>
      <c r="E217" s="211" t="str">
        <f>IF(D54="Y",CONCATENATE(F54," in reallocated grant funding is being used to cover indicated expenditures."),"")</f>
        <v/>
      </c>
      <c r="F217" s="211"/>
      <c r="G217" s="211"/>
      <c r="H217" s="211"/>
      <c r="I217" s="211"/>
      <c r="J217" s="212"/>
      <c r="K217" s="212"/>
      <c r="L217" s="212"/>
      <c r="M217" s="212"/>
      <c r="N217" s="212"/>
      <c r="O217" s="212"/>
      <c r="P217" s="212"/>
      <c r="Q217" s="212"/>
    </row>
    <row r="218" spans="3:17" ht="12.75">
      <c r="C218" s="213" t="str">
        <f>I29</f>
        <v>1128656</v>
      </c>
      <c r="D218" s="211"/>
      <c r="E218" s="211"/>
      <c r="F218" s="211"/>
      <c r="G218" s="211"/>
      <c r="H218" s="211"/>
      <c r="I218" s="211"/>
      <c r="J218" s="212"/>
      <c r="K218" s="212"/>
      <c r="L218" s="212"/>
      <c r="M218" s="212"/>
      <c r="N218" s="212"/>
      <c r="O218" s="212"/>
      <c r="P218" s="212"/>
      <c r="Q218" s="212"/>
    </row>
    <row r="219" spans="3:17" ht="12.75">
      <c r="C219" s="213">
        <f>I30</f>
        <v>1131130</v>
      </c>
      <c r="D219" s="211"/>
      <c r="E219" s="211"/>
      <c r="F219" s="211"/>
      <c r="G219" s="211"/>
      <c r="H219" s="211"/>
      <c r="I219" s="211"/>
      <c r="J219" s="212"/>
      <c r="K219" s="212"/>
      <c r="L219" s="212"/>
      <c r="M219" s="212"/>
      <c r="N219" s="212"/>
      <c r="O219" s="212"/>
      <c r="P219" s="212"/>
      <c r="Q219" s="212"/>
    </row>
    <row r="220" spans="3:17" ht="12.75">
      <c r="C220" s="213" t="str">
        <f>G30</f>
        <v>LAYOVER STUDY</v>
      </c>
      <c r="D220" s="211"/>
      <c r="E220" s="211"/>
      <c r="F220" s="211"/>
      <c r="G220" s="211"/>
      <c r="H220" s="211"/>
      <c r="I220" s="211"/>
      <c r="J220" s="212"/>
      <c r="K220" s="212"/>
      <c r="L220" s="212"/>
      <c r="M220" s="212"/>
      <c r="N220" s="212"/>
      <c r="O220" s="212"/>
      <c r="P220" s="212"/>
      <c r="Q220" s="212"/>
    </row>
    <row r="221" spans="3:17" ht="12.75">
      <c r="C221" s="213">
        <f>H30</f>
        <v>1127199</v>
      </c>
      <c r="D221" s="211"/>
      <c r="E221" s="211"/>
      <c r="F221" s="211"/>
      <c r="G221" s="211"/>
      <c r="H221" s="211"/>
      <c r="I221" s="211"/>
      <c r="J221" s="212"/>
      <c r="K221" s="212"/>
      <c r="L221" s="212"/>
      <c r="M221" s="212"/>
      <c r="N221" s="212"/>
      <c r="O221" s="212"/>
      <c r="P221" s="212"/>
      <c r="Q221" s="212"/>
    </row>
    <row r="222" spans="3:17" ht="12.75">
      <c r="C222" s="213" t="str">
        <f>I31</f>
        <v>NA</v>
      </c>
      <c r="D222" s="211"/>
      <c r="E222" s="211"/>
      <c r="F222" s="211"/>
      <c r="G222" s="211"/>
      <c r="H222" s="211"/>
      <c r="I222" s="211"/>
      <c r="J222" s="212"/>
      <c r="K222" s="212"/>
      <c r="L222" s="212"/>
      <c r="M222" s="212"/>
      <c r="N222" s="212"/>
      <c r="O222" s="212"/>
      <c r="P222" s="212"/>
      <c r="Q222" s="212"/>
    </row>
    <row r="223" spans="3:17" ht="12.75">
      <c r="C223" s="213" t="str">
        <f>J31</f>
        <v xml:space="preserve"> </v>
      </c>
      <c r="D223" s="211"/>
      <c r="E223" s="211"/>
      <c r="F223" s="211"/>
      <c r="G223" s="211"/>
      <c r="H223" s="211"/>
      <c r="I223" s="211"/>
      <c r="J223" s="212"/>
      <c r="K223" s="212"/>
      <c r="L223" s="212"/>
      <c r="M223" s="212"/>
      <c r="N223" s="212"/>
      <c r="O223" s="212"/>
      <c r="P223" s="212"/>
      <c r="Q223" s="212"/>
    </row>
    <row r="224" spans="3:17" ht="12.75">
      <c r="C224" s="214"/>
      <c r="D224" s="210" t="s">
        <v>43</v>
      </c>
      <c r="E224" s="211"/>
      <c r="F224" s="211"/>
      <c r="G224" s="211"/>
      <c r="H224" s="211"/>
      <c r="I224" s="211"/>
      <c r="J224" s="212"/>
      <c r="K224" s="212"/>
      <c r="L224" s="212"/>
      <c r="M224" s="212"/>
      <c r="N224" s="212"/>
      <c r="O224" s="212"/>
      <c r="P224" s="212"/>
      <c r="Q224" s="212"/>
    </row>
    <row r="225" spans="3:17" ht="12.75">
      <c r="C225" s="213"/>
      <c r="D225" s="210" t="s">
        <v>48</v>
      </c>
      <c r="E225" s="211"/>
      <c r="F225" s="211"/>
      <c r="G225" s="211"/>
      <c r="H225" s="211"/>
      <c r="I225" s="211"/>
      <c r="J225" s="212"/>
      <c r="K225" s="212"/>
      <c r="L225" s="212"/>
      <c r="M225" s="212"/>
      <c r="N225" s="212"/>
      <c r="O225" s="212"/>
      <c r="P225" s="212"/>
      <c r="Q225" s="212"/>
    </row>
    <row r="226" spans="3:9" ht="12.75">
      <c r="C226" s="209"/>
      <c r="D226" s="103"/>
      <c r="E226" s="103"/>
      <c r="F226" s="103"/>
      <c r="G226" s="103"/>
      <c r="H226" s="103"/>
      <c r="I226" s="103"/>
    </row>
    <row r="227" spans="3:9" ht="12.75">
      <c r="C227" s="209"/>
      <c r="D227" s="103"/>
      <c r="E227" s="103"/>
      <c r="F227" s="103"/>
      <c r="G227" s="103"/>
      <c r="H227" s="103"/>
      <c r="I227" s="103"/>
    </row>
    <row r="228" spans="3:9" ht="12.75">
      <c r="C228" s="209"/>
      <c r="D228" s="103"/>
      <c r="E228" s="103"/>
      <c r="F228" s="103"/>
      <c r="G228" s="103"/>
      <c r="H228" s="103"/>
      <c r="I228" s="103"/>
    </row>
    <row r="229" spans="3:9" ht="12.75">
      <c r="C229" s="209"/>
      <c r="D229" s="103"/>
      <c r="E229" s="103"/>
      <c r="F229" s="103"/>
      <c r="G229" s="103"/>
      <c r="H229" s="103"/>
      <c r="I229" s="103"/>
    </row>
    <row r="230" spans="3:9" ht="12.75">
      <c r="C230" s="209"/>
      <c r="D230" s="103"/>
      <c r="E230" s="103"/>
      <c r="F230" s="103"/>
      <c r="G230" s="103"/>
      <c r="H230" s="103"/>
      <c r="I230" s="103"/>
    </row>
    <row r="231" spans="3:9" ht="12.75">
      <c r="C231" s="209"/>
      <c r="D231" s="103"/>
      <c r="E231" s="103"/>
      <c r="F231" s="103"/>
      <c r="G231" s="103"/>
      <c r="H231" s="103"/>
      <c r="I231" s="103"/>
    </row>
    <row r="232" spans="3:9" ht="12.75">
      <c r="C232" s="103"/>
      <c r="D232" s="103"/>
      <c r="E232" s="103"/>
      <c r="F232" s="103"/>
      <c r="G232" s="103"/>
      <c r="H232" s="103"/>
      <c r="I232" s="103"/>
    </row>
    <row r="233" spans="3:9" ht="12.75">
      <c r="C233" s="103"/>
      <c r="D233" s="103"/>
      <c r="E233" s="103"/>
      <c r="F233" s="103"/>
      <c r="G233" s="103"/>
      <c r="H233" s="103"/>
      <c r="I233" s="103"/>
    </row>
    <row r="234" spans="3:9" ht="12.75">
      <c r="C234" s="103"/>
      <c r="D234" s="103"/>
      <c r="E234" s="103"/>
      <c r="F234" s="103"/>
      <c r="G234" s="103"/>
      <c r="H234" s="103"/>
      <c r="I234" s="103"/>
    </row>
    <row r="235" spans="3:9" ht="12.75">
      <c r="C235" s="103"/>
      <c r="D235" s="103"/>
      <c r="E235" s="103"/>
      <c r="F235" s="103"/>
      <c r="G235" s="103"/>
      <c r="H235" s="103"/>
      <c r="I235" s="103"/>
    </row>
    <row r="236" spans="3:9" ht="12.75">
      <c r="C236" s="103"/>
      <c r="D236" s="103"/>
      <c r="E236" s="103"/>
      <c r="F236" s="103"/>
      <c r="G236" s="103"/>
      <c r="H236" s="103"/>
      <c r="I236" s="103"/>
    </row>
    <row r="237" spans="3:9" ht="12.75">
      <c r="C237" s="103"/>
      <c r="D237" s="103"/>
      <c r="E237" s="103"/>
      <c r="F237" s="103"/>
      <c r="G237" s="103"/>
      <c r="H237" s="103"/>
      <c r="I237" s="103"/>
    </row>
    <row r="238" spans="3:9" ht="12.75">
      <c r="C238" s="103"/>
      <c r="D238" s="103"/>
      <c r="E238" s="103"/>
      <c r="F238" s="103"/>
      <c r="G238" s="103"/>
      <c r="H238" s="103"/>
      <c r="I238" s="103"/>
    </row>
    <row r="239" spans="3:9" ht="12.75">
      <c r="C239" s="103"/>
      <c r="D239" s="103"/>
      <c r="E239" s="103"/>
      <c r="F239" s="103"/>
      <c r="G239" s="103"/>
      <c r="H239" s="103"/>
      <c r="I239" s="103"/>
    </row>
    <row r="240" spans="3:9" ht="12.75">
      <c r="C240" s="103"/>
      <c r="D240" s="103"/>
      <c r="E240" s="103"/>
      <c r="F240" s="103"/>
      <c r="G240" s="103"/>
      <c r="H240" s="103"/>
      <c r="I240" s="103"/>
    </row>
    <row r="241" spans="3:9" ht="12.75">
      <c r="C241" s="103"/>
      <c r="D241" s="103"/>
      <c r="E241" s="103"/>
      <c r="F241" s="103"/>
      <c r="G241" s="103"/>
      <c r="H241" s="103"/>
      <c r="I241" s="103"/>
    </row>
    <row r="242" spans="3:9" ht="12.75">
      <c r="C242" s="103"/>
      <c r="D242" s="103"/>
      <c r="E242" s="103"/>
      <c r="F242" s="103"/>
      <c r="G242" s="103"/>
      <c r="H242" s="103"/>
      <c r="I242" s="103"/>
    </row>
    <row r="243" spans="3:9" ht="12.75">
      <c r="C243" s="103"/>
      <c r="D243" s="103"/>
      <c r="E243" s="103"/>
      <c r="F243" s="103"/>
      <c r="G243" s="103"/>
      <c r="H243" s="103"/>
      <c r="I243" s="103"/>
    </row>
    <row r="244" spans="3:9" ht="12.75">
      <c r="C244" s="103"/>
      <c r="D244" s="103"/>
      <c r="E244" s="103"/>
      <c r="F244" s="103"/>
      <c r="G244" s="103"/>
      <c r="H244" s="103"/>
      <c r="I244" s="103"/>
    </row>
    <row r="245" spans="3:9" ht="12.75">
      <c r="C245" s="103"/>
      <c r="D245" s="103"/>
      <c r="E245" s="103"/>
      <c r="F245" s="103"/>
      <c r="G245" s="103"/>
      <c r="H245" s="103"/>
      <c r="I245" s="103"/>
    </row>
    <row r="246" spans="3:9" ht="12.75">
      <c r="C246" s="103"/>
      <c r="D246" s="103"/>
      <c r="E246" s="103"/>
      <c r="F246" s="103"/>
      <c r="G246" s="103"/>
      <c r="H246" s="103"/>
      <c r="I246" s="103"/>
    </row>
    <row r="247" spans="3:9" ht="12.75">
      <c r="C247" s="103"/>
      <c r="D247" s="103"/>
      <c r="E247" s="103"/>
      <c r="F247" s="103"/>
      <c r="G247" s="103"/>
      <c r="H247" s="103"/>
      <c r="I247" s="103"/>
    </row>
    <row r="248" spans="3:9" ht="12.75">
      <c r="C248" s="103"/>
      <c r="D248" s="103"/>
      <c r="E248" s="103"/>
      <c r="F248" s="103"/>
      <c r="G248" s="103"/>
      <c r="H248" s="103"/>
      <c r="I248" s="103"/>
    </row>
    <row r="249" spans="3:9" ht="12.75">
      <c r="C249" s="103"/>
      <c r="D249" s="103"/>
      <c r="E249" s="103"/>
      <c r="F249" s="103"/>
      <c r="G249" s="103"/>
      <c r="H249" s="103"/>
      <c r="I249" s="103"/>
    </row>
    <row r="250" spans="3:9" ht="12.75">
      <c r="C250" s="103"/>
      <c r="D250" s="103"/>
      <c r="E250" s="103"/>
      <c r="F250" s="103"/>
      <c r="G250" s="103"/>
      <c r="H250" s="103"/>
      <c r="I250" s="103"/>
    </row>
    <row r="251" spans="3:9" ht="12.75">
      <c r="C251" s="103"/>
      <c r="D251" s="103"/>
      <c r="E251" s="103"/>
      <c r="F251" s="103"/>
      <c r="G251" s="103"/>
      <c r="H251" s="103"/>
      <c r="I251" s="103"/>
    </row>
    <row r="252" spans="3:9" ht="12.75">
      <c r="C252" s="103"/>
      <c r="D252" s="103"/>
      <c r="E252" s="103"/>
      <c r="F252" s="103"/>
      <c r="G252" s="103"/>
      <c r="H252" s="103"/>
      <c r="I252" s="103"/>
    </row>
    <row r="253" spans="3:9" ht="12.75">
      <c r="C253" s="103"/>
      <c r="D253" s="103"/>
      <c r="E253" s="103"/>
      <c r="F253" s="103"/>
      <c r="G253" s="103"/>
      <c r="H253" s="103"/>
      <c r="I253" s="103"/>
    </row>
    <row r="254" spans="3:9" ht="12.75">
      <c r="C254" s="103"/>
      <c r="D254" s="103"/>
      <c r="E254" s="103"/>
      <c r="F254" s="103"/>
      <c r="G254" s="103"/>
      <c r="H254" s="103"/>
      <c r="I254" s="103"/>
    </row>
    <row r="255" spans="3:9" ht="12.75">
      <c r="C255" s="103"/>
      <c r="D255" s="103"/>
      <c r="E255" s="103"/>
      <c r="F255" s="103"/>
      <c r="G255" s="103"/>
      <c r="H255" s="103"/>
      <c r="I255" s="103"/>
    </row>
    <row r="256" spans="3:9" ht="12.75">
      <c r="C256" s="103"/>
      <c r="D256" s="103"/>
      <c r="E256" s="103"/>
      <c r="F256" s="103"/>
      <c r="G256" s="103"/>
      <c r="H256" s="103"/>
      <c r="I256" s="103"/>
    </row>
    <row r="257" spans="3:9" ht="12.75">
      <c r="C257" s="103"/>
      <c r="D257" s="103"/>
      <c r="E257" s="103"/>
      <c r="F257" s="103"/>
      <c r="G257" s="103"/>
      <c r="H257" s="103"/>
      <c r="I257" s="103"/>
    </row>
    <row r="258" spans="3:9" ht="12.75">
      <c r="C258" s="103"/>
      <c r="D258" s="103"/>
      <c r="E258" s="103"/>
      <c r="F258" s="103"/>
      <c r="G258" s="103"/>
      <c r="H258" s="103"/>
      <c r="I258" s="103"/>
    </row>
    <row r="259" spans="3:9" ht="12.75">
      <c r="C259" s="103"/>
      <c r="D259" s="103"/>
      <c r="E259" s="103"/>
      <c r="F259" s="103"/>
      <c r="G259" s="103"/>
      <c r="H259" s="103"/>
      <c r="I259" s="103"/>
    </row>
    <row r="260" spans="3:9" ht="12.75">
      <c r="C260" s="103"/>
      <c r="D260" s="103"/>
      <c r="E260" s="103"/>
      <c r="F260" s="103"/>
      <c r="G260" s="103"/>
      <c r="H260" s="103"/>
      <c r="I260" s="103"/>
    </row>
    <row r="261" spans="3:9" ht="12.75">
      <c r="C261" s="103"/>
      <c r="D261" s="103"/>
      <c r="E261" s="103"/>
      <c r="F261" s="103"/>
      <c r="G261" s="103"/>
      <c r="H261" s="103"/>
      <c r="I261" s="103"/>
    </row>
    <row r="262" spans="3:9" ht="12.75">
      <c r="C262" s="103"/>
      <c r="D262" s="103"/>
      <c r="E262" s="103"/>
      <c r="F262" s="103"/>
      <c r="G262" s="103"/>
      <c r="H262" s="103"/>
      <c r="I262" s="103"/>
    </row>
    <row r="263" spans="3:9" ht="12.75">
      <c r="C263" s="103"/>
      <c r="D263" s="103"/>
      <c r="E263" s="103"/>
      <c r="F263" s="103"/>
      <c r="G263" s="103"/>
      <c r="H263" s="103"/>
      <c r="I263" s="103"/>
    </row>
    <row r="264" spans="3:9" ht="12.75">
      <c r="C264" s="103"/>
      <c r="D264" s="103"/>
      <c r="E264" s="103"/>
      <c r="F264" s="103"/>
      <c r="G264" s="103"/>
      <c r="H264" s="103"/>
      <c r="I264" s="103"/>
    </row>
    <row r="265" spans="3:9" ht="12.75">
      <c r="C265" s="103"/>
      <c r="D265" s="103"/>
      <c r="E265" s="103"/>
      <c r="F265" s="103"/>
      <c r="G265" s="103"/>
      <c r="H265" s="103"/>
      <c r="I265" s="103"/>
    </row>
    <row r="266" spans="3:9" ht="12.75">
      <c r="C266" s="103"/>
      <c r="D266" s="103"/>
      <c r="E266" s="103"/>
      <c r="F266" s="103"/>
      <c r="G266" s="103"/>
      <c r="H266" s="103"/>
      <c r="I266" s="103"/>
    </row>
    <row r="267" spans="3:9" ht="12.75">
      <c r="C267" s="103"/>
      <c r="D267" s="103"/>
      <c r="E267" s="103"/>
      <c r="F267" s="103"/>
      <c r="G267" s="103"/>
      <c r="H267" s="103"/>
      <c r="I267" s="103"/>
    </row>
    <row r="268" spans="3:9" ht="12.75">
      <c r="C268" s="103"/>
      <c r="D268" s="103"/>
      <c r="E268" s="103"/>
      <c r="F268" s="103"/>
      <c r="G268" s="103"/>
      <c r="H268" s="103"/>
      <c r="I268" s="103"/>
    </row>
    <row r="269" spans="3:9" ht="12.75">
      <c r="C269" s="103"/>
      <c r="D269" s="103"/>
      <c r="E269" s="103"/>
      <c r="F269" s="103"/>
      <c r="G269" s="103"/>
      <c r="H269" s="103"/>
      <c r="I269" s="103"/>
    </row>
    <row r="270" spans="3:9" ht="12.75">
      <c r="C270" s="103"/>
      <c r="D270" s="103"/>
      <c r="E270" s="103"/>
      <c r="F270" s="103"/>
      <c r="G270" s="103"/>
      <c r="H270" s="103"/>
      <c r="I270" s="103"/>
    </row>
    <row r="271" spans="3:9" ht="12.75">
      <c r="C271" s="103"/>
      <c r="D271" s="103"/>
      <c r="E271" s="103"/>
      <c r="F271" s="103"/>
      <c r="G271" s="103"/>
      <c r="H271" s="103"/>
      <c r="I271" s="103"/>
    </row>
    <row r="272" spans="3:9" ht="12.75">
      <c r="C272" s="103"/>
      <c r="D272" s="103"/>
      <c r="E272" s="103"/>
      <c r="F272" s="103"/>
      <c r="G272" s="103"/>
      <c r="H272" s="103"/>
      <c r="I272" s="103"/>
    </row>
    <row r="273" spans="3:9" ht="12.75">
      <c r="C273" s="103"/>
      <c r="D273" s="103"/>
      <c r="E273" s="103"/>
      <c r="F273" s="103"/>
      <c r="G273" s="103"/>
      <c r="H273" s="103"/>
      <c r="I273" s="103"/>
    </row>
    <row r="274" spans="3:9" ht="12.75">
      <c r="C274" s="103"/>
      <c r="D274" s="103"/>
      <c r="E274" s="103"/>
      <c r="F274" s="103"/>
      <c r="G274" s="103"/>
      <c r="H274" s="103"/>
      <c r="I274" s="103"/>
    </row>
    <row r="275" spans="3:9" ht="12.75">
      <c r="C275" s="103"/>
      <c r="D275" s="103"/>
      <c r="E275" s="103"/>
      <c r="F275" s="103"/>
      <c r="G275" s="103"/>
      <c r="H275" s="103"/>
      <c r="I275" s="103"/>
    </row>
    <row r="276" spans="3:9" ht="12.75">
      <c r="C276" s="103"/>
      <c r="D276" s="103"/>
      <c r="E276" s="103"/>
      <c r="F276" s="103"/>
      <c r="G276" s="103"/>
      <c r="H276" s="103"/>
      <c r="I276" s="103"/>
    </row>
    <row r="277" spans="3:9" ht="12.75">
      <c r="C277" s="103"/>
      <c r="D277" s="103"/>
      <c r="E277" s="103"/>
      <c r="F277" s="103"/>
      <c r="G277" s="103"/>
      <c r="H277" s="103"/>
      <c r="I277" s="103"/>
    </row>
    <row r="278" spans="3:9" ht="12.75">
      <c r="C278" s="103"/>
      <c r="D278" s="103"/>
      <c r="E278" s="103"/>
      <c r="F278" s="103"/>
      <c r="G278" s="103"/>
      <c r="H278" s="103"/>
      <c r="I278" s="103"/>
    </row>
    <row r="279" spans="3:9" ht="12.75">
      <c r="C279" s="103"/>
      <c r="D279" s="103"/>
      <c r="E279" s="103"/>
      <c r="F279" s="103"/>
      <c r="G279" s="103"/>
      <c r="H279" s="103"/>
      <c r="I279" s="103"/>
    </row>
    <row r="280" spans="3:9" ht="12.75">
      <c r="C280" s="103"/>
      <c r="D280" s="103"/>
      <c r="E280" s="103"/>
      <c r="F280" s="103"/>
      <c r="G280" s="103"/>
      <c r="H280" s="103"/>
      <c r="I280" s="103"/>
    </row>
    <row r="281" spans="3:9" ht="12.75">
      <c r="C281" s="103"/>
      <c r="D281" s="103"/>
      <c r="E281" s="103"/>
      <c r="F281" s="103"/>
      <c r="G281" s="103"/>
      <c r="H281" s="103"/>
      <c r="I281" s="103"/>
    </row>
    <row r="282" spans="3:9" ht="12.75">
      <c r="C282" s="103"/>
      <c r="D282" s="103"/>
      <c r="E282" s="103"/>
      <c r="F282" s="103"/>
      <c r="G282" s="103"/>
      <c r="H282" s="103"/>
      <c r="I282" s="103"/>
    </row>
    <row r="283" spans="3:9" ht="12.75">
      <c r="C283" s="103"/>
      <c r="D283" s="103"/>
      <c r="E283" s="103"/>
      <c r="F283" s="103"/>
      <c r="G283" s="103"/>
      <c r="H283" s="103"/>
      <c r="I283" s="103"/>
    </row>
    <row r="284" spans="3:9" ht="12.75">
      <c r="C284" s="103"/>
      <c r="D284" s="103"/>
      <c r="E284" s="103"/>
      <c r="F284" s="103"/>
      <c r="G284" s="103"/>
      <c r="H284" s="103"/>
      <c r="I284" s="103"/>
    </row>
    <row r="285" spans="3:9" ht="12.75">
      <c r="C285" s="103"/>
      <c r="D285" s="103"/>
      <c r="E285" s="103"/>
      <c r="F285" s="103"/>
      <c r="G285" s="103"/>
      <c r="H285" s="103"/>
      <c r="I285" s="103"/>
    </row>
    <row r="286" spans="3:9" ht="12.75">
      <c r="C286" s="103"/>
      <c r="D286" s="103"/>
      <c r="E286" s="103"/>
      <c r="F286" s="103"/>
      <c r="G286" s="103"/>
      <c r="H286" s="103"/>
      <c r="I286" s="103"/>
    </row>
    <row r="287" spans="3:9" ht="12.75">
      <c r="C287" s="103"/>
      <c r="D287" s="103"/>
      <c r="E287" s="103"/>
      <c r="F287" s="103"/>
      <c r="G287" s="103"/>
      <c r="H287" s="103"/>
      <c r="I287" s="103"/>
    </row>
    <row r="288" spans="3:9" ht="12.75">
      <c r="C288" s="103"/>
      <c r="D288" s="103"/>
      <c r="E288" s="103"/>
      <c r="F288" s="103"/>
      <c r="G288" s="103"/>
      <c r="H288" s="103"/>
      <c r="I288" s="103"/>
    </row>
    <row r="289" spans="3:9" ht="12.75">
      <c r="C289" s="103"/>
      <c r="D289" s="103"/>
      <c r="E289" s="103"/>
      <c r="F289" s="103"/>
      <c r="G289" s="103"/>
      <c r="H289" s="103"/>
      <c r="I289" s="103"/>
    </row>
    <row r="290" spans="3:9" ht="12.75">
      <c r="C290" s="103"/>
      <c r="D290" s="103"/>
      <c r="E290" s="103"/>
      <c r="F290" s="103"/>
      <c r="G290" s="103"/>
      <c r="H290" s="103"/>
      <c r="I290" s="103"/>
    </row>
    <row r="291" spans="3:9" ht="12.75">
      <c r="C291" s="103"/>
      <c r="D291" s="103"/>
      <c r="E291" s="103"/>
      <c r="F291" s="103"/>
      <c r="G291" s="103"/>
      <c r="H291" s="103"/>
      <c r="I291" s="103"/>
    </row>
    <row r="292" spans="3:9" ht="12.75">
      <c r="C292" s="103"/>
      <c r="D292" s="103"/>
      <c r="E292" s="103"/>
      <c r="F292" s="103"/>
      <c r="G292" s="103"/>
      <c r="H292" s="103"/>
      <c r="I292" s="103"/>
    </row>
    <row r="293" spans="3:9" ht="12.75">
      <c r="C293" s="103"/>
      <c r="D293" s="103"/>
      <c r="E293" s="103"/>
      <c r="F293" s="103"/>
      <c r="G293" s="103"/>
      <c r="H293" s="103"/>
      <c r="I293" s="103"/>
    </row>
    <row r="294" spans="3:9" ht="12.75">
      <c r="C294" s="103"/>
      <c r="D294" s="103"/>
      <c r="E294" s="103"/>
      <c r="F294" s="103"/>
      <c r="G294" s="103"/>
      <c r="H294" s="103"/>
      <c r="I294" s="103"/>
    </row>
    <row r="295" spans="3:9" ht="12.75">
      <c r="C295" s="103"/>
      <c r="D295" s="103"/>
      <c r="E295" s="103"/>
      <c r="F295" s="103"/>
      <c r="G295" s="103"/>
      <c r="H295" s="103"/>
      <c r="I295" s="103"/>
    </row>
    <row r="296" spans="3:9" ht="12.75">
      <c r="C296" s="103"/>
      <c r="D296" s="103"/>
      <c r="E296" s="103"/>
      <c r="F296" s="103"/>
      <c r="G296" s="103"/>
      <c r="H296" s="103"/>
      <c r="I296" s="103"/>
    </row>
    <row r="297" spans="3:9" ht="12.75">
      <c r="C297" s="103"/>
      <c r="D297" s="103"/>
      <c r="E297" s="103"/>
      <c r="F297" s="103"/>
      <c r="G297" s="103"/>
      <c r="H297" s="103"/>
      <c r="I297" s="103"/>
    </row>
    <row r="298" spans="3:9" ht="12.75">
      <c r="C298" s="103"/>
      <c r="D298" s="103"/>
      <c r="E298" s="103"/>
      <c r="F298" s="103"/>
      <c r="G298" s="103"/>
      <c r="H298" s="103"/>
      <c r="I298" s="103"/>
    </row>
    <row r="299" spans="3:9" ht="12.75">
      <c r="C299" s="103"/>
      <c r="D299" s="103"/>
      <c r="E299" s="103"/>
      <c r="F299" s="103"/>
      <c r="G299" s="103"/>
      <c r="H299" s="103"/>
      <c r="I299" s="103"/>
    </row>
    <row r="300" spans="3:9" ht="12.75">
      <c r="C300" s="103"/>
      <c r="D300" s="103"/>
      <c r="E300" s="103"/>
      <c r="F300" s="103"/>
      <c r="G300" s="103"/>
      <c r="H300" s="103"/>
      <c r="I300" s="103"/>
    </row>
    <row r="301" spans="3:9" ht="12.75">
      <c r="C301" s="103"/>
      <c r="D301" s="103"/>
      <c r="E301" s="103"/>
      <c r="F301" s="103"/>
      <c r="G301" s="103"/>
      <c r="H301" s="103"/>
      <c r="I301" s="103"/>
    </row>
    <row r="302" spans="3:9" ht="12.75">
      <c r="C302" s="103"/>
      <c r="D302" s="103"/>
      <c r="E302" s="103"/>
      <c r="F302" s="103"/>
      <c r="G302" s="103"/>
      <c r="H302" s="103"/>
      <c r="I302" s="103"/>
    </row>
    <row r="303" spans="3:9" ht="12.75">
      <c r="C303" s="103"/>
      <c r="D303" s="103"/>
      <c r="E303" s="103"/>
      <c r="F303" s="103"/>
      <c r="G303" s="103"/>
      <c r="H303" s="103"/>
      <c r="I303" s="103"/>
    </row>
    <row r="304" spans="3:9" ht="12.75">
      <c r="C304" s="103"/>
      <c r="D304" s="103"/>
      <c r="E304" s="103"/>
      <c r="F304" s="103"/>
      <c r="G304" s="103"/>
      <c r="H304" s="103"/>
      <c r="I304" s="103"/>
    </row>
    <row r="305" spans="3:9" ht="12.75">
      <c r="C305" s="103"/>
      <c r="D305" s="103"/>
      <c r="E305" s="103"/>
      <c r="F305" s="103"/>
      <c r="G305" s="103"/>
      <c r="H305" s="103"/>
      <c r="I305" s="103"/>
    </row>
    <row r="306" spans="3:9" ht="12.75">
      <c r="C306" s="103"/>
      <c r="D306" s="103"/>
      <c r="E306" s="103"/>
      <c r="F306" s="103"/>
      <c r="G306" s="103"/>
      <c r="H306" s="103"/>
      <c r="I306" s="103"/>
    </row>
    <row r="307" spans="3:9" ht="12.75">
      <c r="C307" s="103"/>
      <c r="D307" s="103"/>
      <c r="E307" s="103"/>
      <c r="F307" s="103"/>
      <c r="G307" s="103"/>
      <c r="H307" s="103"/>
      <c r="I307" s="103"/>
    </row>
    <row r="308" spans="3:9" ht="12.75">
      <c r="C308" s="103"/>
      <c r="D308" s="103"/>
      <c r="E308" s="103"/>
      <c r="F308" s="103"/>
      <c r="G308" s="103"/>
      <c r="H308" s="103"/>
      <c r="I308" s="103"/>
    </row>
    <row r="309" spans="3:9" ht="12.75">
      <c r="C309" s="103"/>
      <c r="D309" s="103"/>
      <c r="E309" s="103"/>
      <c r="F309" s="103"/>
      <c r="G309" s="103"/>
      <c r="H309" s="103"/>
      <c r="I309" s="103"/>
    </row>
    <row r="310" spans="3:9" ht="12.75">
      <c r="C310" s="103"/>
      <c r="D310" s="103"/>
      <c r="E310" s="103"/>
      <c r="F310" s="103"/>
      <c r="G310" s="103"/>
      <c r="H310" s="103"/>
      <c r="I310" s="103"/>
    </row>
    <row r="311" spans="3:9" ht="12.75">
      <c r="C311" s="103"/>
      <c r="D311" s="103"/>
      <c r="E311" s="103"/>
      <c r="F311" s="103"/>
      <c r="G311" s="103"/>
      <c r="H311" s="103"/>
      <c r="I311" s="103"/>
    </row>
    <row r="312" spans="3:9" ht="12.75">
      <c r="C312" s="103"/>
      <c r="D312" s="103"/>
      <c r="E312" s="103"/>
      <c r="F312" s="103"/>
      <c r="G312" s="103"/>
      <c r="H312" s="103"/>
      <c r="I312" s="103"/>
    </row>
    <row r="313" spans="3:9" ht="12.75">
      <c r="C313" s="103"/>
      <c r="D313" s="103"/>
      <c r="E313" s="103"/>
      <c r="F313" s="103"/>
      <c r="G313" s="103"/>
      <c r="H313" s="103"/>
      <c r="I313" s="103"/>
    </row>
    <row r="314" spans="3:9" ht="12.75">
      <c r="C314" s="103"/>
      <c r="D314" s="103"/>
      <c r="E314" s="103"/>
      <c r="F314" s="103"/>
      <c r="G314" s="103"/>
      <c r="H314" s="103"/>
      <c r="I314" s="103"/>
    </row>
    <row r="315" spans="3:9" ht="12.75">
      <c r="C315" s="103"/>
      <c r="D315" s="103"/>
      <c r="E315" s="103"/>
      <c r="F315" s="103"/>
      <c r="G315" s="103"/>
      <c r="H315" s="103"/>
      <c r="I315" s="103"/>
    </row>
    <row r="316" spans="3:9" ht="12.75">
      <c r="C316" s="103"/>
      <c r="D316" s="103"/>
      <c r="E316" s="103"/>
      <c r="F316" s="103"/>
      <c r="G316" s="103"/>
      <c r="H316" s="103"/>
      <c r="I316" s="103"/>
    </row>
    <row r="317" spans="3:9" ht="12.75">
      <c r="C317" s="103"/>
      <c r="D317" s="103"/>
      <c r="E317" s="103"/>
      <c r="F317" s="103"/>
      <c r="G317" s="103"/>
      <c r="H317" s="103"/>
      <c r="I317" s="103"/>
    </row>
    <row r="318" spans="3:9" ht="12.75">
      <c r="C318" s="103"/>
      <c r="D318" s="103"/>
      <c r="E318" s="103"/>
      <c r="F318" s="103"/>
      <c r="G318" s="103"/>
      <c r="H318" s="103"/>
      <c r="I318" s="103"/>
    </row>
    <row r="319" spans="3:9" ht="12.75">
      <c r="C319" s="103"/>
      <c r="D319" s="103"/>
      <c r="E319" s="103"/>
      <c r="F319" s="103"/>
      <c r="G319" s="103"/>
      <c r="H319" s="103"/>
      <c r="I319" s="103"/>
    </row>
    <row r="320" spans="3:9" ht="12.75">
      <c r="C320" s="103"/>
      <c r="D320" s="103"/>
      <c r="E320" s="103"/>
      <c r="F320" s="103"/>
      <c r="G320" s="103"/>
      <c r="H320" s="103"/>
      <c r="I320" s="103"/>
    </row>
    <row r="321" spans="3:9" ht="12.75">
      <c r="C321" s="103"/>
      <c r="D321" s="103"/>
      <c r="E321" s="103"/>
      <c r="F321" s="103"/>
      <c r="G321" s="103"/>
      <c r="H321" s="103"/>
      <c r="I321" s="103"/>
    </row>
    <row r="322" spans="3:9" ht="12.75">
      <c r="C322" s="103"/>
      <c r="D322" s="103"/>
      <c r="E322" s="103"/>
      <c r="F322" s="103"/>
      <c r="G322" s="103"/>
      <c r="H322" s="103"/>
      <c r="I322" s="103"/>
    </row>
    <row r="323" spans="3:9" ht="12.75">
      <c r="C323" s="103"/>
      <c r="D323" s="103"/>
      <c r="E323" s="103"/>
      <c r="F323" s="103"/>
      <c r="G323" s="103"/>
      <c r="H323" s="103"/>
      <c r="I323" s="103"/>
    </row>
    <row r="324" spans="3:9" ht="12.75">
      <c r="C324" s="103"/>
      <c r="D324" s="103"/>
      <c r="E324" s="103"/>
      <c r="F324" s="103"/>
      <c r="G324" s="103"/>
      <c r="H324" s="103"/>
      <c r="I324" s="103"/>
    </row>
    <row r="325" spans="3:9" ht="12.75">
      <c r="C325" s="103"/>
      <c r="D325" s="103"/>
      <c r="E325" s="103"/>
      <c r="F325" s="103"/>
      <c r="G325" s="103"/>
      <c r="H325" s="103"/>
      <c r="I325" s="103"/>
    </row>
    <row r="326" spans="3:9" ht="12.75">
      <c r="C326" s="103"/>
      <c r="D326" s="103"/>
      <c r="E326" s="103"/>
      <c r="F326" s="103"/>
      <c r="G326" s="103"/>
      <c r="H326" s="103"/>
      <c r="I326" s="103"/>
    </row>
    <row r="327" spans="3:9" ht="12.75">
      <c r="C327" s="103"/>
      <c r="D327" s="103"/>
      <c r="E327" s="103"/>
      <c r="F327" s="103"/>
      <c r="G327" s="103"/>
      <c r="H327" s="103"/>
      <c r="I327" s="103"/>
    </row>
    <row r="328" spans="3:9" ht="12.75">
      <c r="C328" s="103"/>
      <c r="D328" s="103"/>
      <c r="E328" s="103"/>
      <c r="F328" s="103"/>
      <c r="G328" s="103"/>
      <c r="H328" s="103"/>
      <c r="I328" s="103"/>
    </row>
    <row r="329" spans="3:9" ht="12.75">
      <c r="C329" s="103"/>
      <c r="D329" s="103"/>
      <c r="E329" s="103"/>
      <c r="F329" s="103"/>
      <c r="G329" s="103"/>
      <c r="H329" s="103"/>
      <c r="I329" s="103"/>
    </row>
    <row r="330" spans="3:9" ht="12.75">
      <c r="C330" s="103"/>
      <c r="D330" s="103"/>
      <c r="E330" s="103"/>
      <c r="F330" s="103"/>
      <c r="G330" s="103"/>
      <c r="H330" s="103"/>
      <c r="I330" s="103"/>
    </row>
    <row r="331" spans="3:9" ht="12.75">
      <c r="C331" s="103"/>
      <c r="D331" s="103"/>
      <c r="E331" s="103"/>
      <c r="F331" s="103"/>
      <c r="G331" s="103"/>
      <c r="H331" s="103"/>
      <c r="I331" s="103"/>
    </row>
    <row r="332" spans="3:9" ht="12.75">
      <c r="C332" s="103"/>
      <c r="D332" s="103"/>
      <c r="E332" s="103"/>
      <c r="F332" s="103"/>
      <c r="G332" s="103"/>
      <c r="H332" s="103"/>
      <c r="I332" s="103"/>
    </row>
    <row r="333" spans="3:9" ht="12.75">
      <c r="C333" s="103"/>
      <c r="D333" s="103"/>
      <c r="E333" s="103"/>
      <c r="F333" s="103"/>
      <c r="G333" s="103"/>
      <c r="H333" s="103"/>
      <c r="I333" s="103"/>
    </row>
    <row r="334" spans="3:9" ht="12.75">
      <c r="C334" s="103"/>
      <c r="D334" s="103"/>
      <c r="E334" s="103"/>
      <c r="F334" s="103"/>
      <c r="G334" s="103"/>
      <c r="H334" s="103"/>
      <c r="I334" s="103"/>
    </row>
    <row r="335" spans="3:9" ht="12.75">
      <c r="C335" s="103"/>
      <c r="D335" s="103"/>
      <c r="E335" s="103"/>
      <c r="F335" s="103"/>
      <c r="G335" s="103"/>
      <c r="H335" s="103"/>
      <c r="I335" s="103"/>
    </row>
    <row r="336" spans="3:9" ht="12.75">
      <c r="C336" s="103"/>
      <c r="D336" s="103"/>
      <c r="E336" s="103"/>
      <c r="F336" s="103"/>
      <c r="G336" s="103"/>
      <c r="H336" s="103"/>
      <c r="I336" s="103"/>
    </row>
    <row r="337" spans="3:9" ht="12.75">
      <c r="C337" s="103"/>
      <c r="D337" s="103"/>
      <c r="E337" s="103"/>
      <c r="F337" s="103"/>
      <c r="G337" s="103"/>
      <c r="H337" s="103"/>
      <c r="I337" s="103"/>
    </row>
    <row r="338" spans="3:9" ht="12.75">
      <c r="C338" s="103"/>
      <c r="D338" s="103"/>
      <c r="E338" s="103"/>
      <c r="F338" s="103"/>
      <c r="G338" s="103"/>
      <c r="H338" s="103"/>
      <c r="I338" s="103"/>
    </row>
    <row r="339" spans="3:9" ht="12.75">
      <c r="C339" s="103"/>
      <c r="D339" s="103"/>
      <c r="E339" s="103"/>
      <c r="F339" s="103"/>
      <c r="G339" s="103"/>
      <c r="H339" s="103"/>
      <c r="I339" s="103"/>
    </row>
    <row r="340" spans="3:9" ht="12.75">
      <c r="C340" s="103"/>
      <c r="D340" s="103"/>
      <c r="E340" s="103"/>
      <c r="F340" s="103"/>
      <c r="G340" s="103"/>
      <c r="H340" s="103"/>
      <c r="I340" s="103"/>
    </row>
    <row r="341" spans="3:9" ht="12.75">
      <c r="C341" s="103"/>
      <c r="D341" s="103"/>
      <c r="E341" s="103"/>
      <c r="F341" s="103"/>
      <c r="G341" s="103"/>
      <c r="H341" s="103"/>
      <c r="I341" s="103"/>
    </row>
    <row r="342" spans="3:9" ht="12.75">
      <c r="C342" s="103"/>
      <c r="D342" s="103"/>
      <c r="E342" s="103"/>
      <c r="F342" s="103"/>
      <c r="G342" s="103"/>
      <c r="H342" s="103"/>
      <c r="I342" s="103"/>
    </row>
    <row r="343" spans="3:9" ht="12.75">
      <c r="C343" s="103"/>
      <c r="D343" s="103"/>
      <c r="E343" s="103"/>
      <c r="F343" s="103"/>
      <c r="G343" s="103"/>
      <c r="H343" s="103"/>
      <c r="I343" s="103"/>
    </row>
    <row r="344" spans="3:9" ht="12.75">
      <c r="C344" s="103"/>
      <c r="D344" s="103"/>
      <c r="E344" s="103"/>
      <c r="F344" s="103"/>
      <c r="G344" s="103"/>
      <c r="H344" s="103"/>
      <c r="I344" s="103"/>
    </row>
    <row r="345" spans="3:9" ht="12.75">
      <c r="C345" s="103"/>
      <c r="D345" s="103"/>
      <c r="E345" s="103"/>
      <c r="F345" s="103"/>
      <c r="G345" s="103"/>
      <c r="H345" s="103"/>
      <c r="I345" s="103"/>
    </row>
    <row r="346" spans="3:9" ht="12.75">
      <c r="C346" s="103"/>
      <c r="D346" s="103"/>
      <c r="E346" s="103"/>
      <c r="F346" s="103"/>
      <c r="G346" s="103"/>
      <c r="H346" s="103"/>
      <c r="I346" s="103"/>
    </row>
    <row r="347" spans="3:9" ht="12.75">
      <c r="C347" s="103"/>
      <c r="D347" s="103"/>
      <c r="E347" s="103"/>
      <c r="F347" s="103"/>
      <c r="G347" s="103"/>
      <c r="H347" s="103"/>
      <c r="I347" s="103"/>
    </row>
    <row r="348" spans="3:9" ht="12.75">
      <c r="C348" s="103"/>
      <c r="D348" s="103"/>
      <c r="E348" s="103"/>
      <c r="F348" s="103"/>
      <c r="G348" s="103"/>
      <c r="H348" s="103"/>
      <c r="I348" s="103"/>
    </row>
    <row r="349" spans="3:9" ht="12.75">
      <c r="C349" s="103"/>
      <c r="D349" s="103"/>
      <c r="E349" s="103"/>
      <c r="F349" s="103"/>
      <c r="G349" s="103"/>
      <c r="H349" s="103"/>
      <c r="I349" s="103"/>
    </row>
    <row r="350" spans="3:9" ht="12.75">
      <c r="C350" s="103"/>
      <c r="D350" s="103"/>
      <c r="E350" s="103"/>
      <c r="F350" s="103"/>
      <c r="G350" s="103"/>
      <c r="H350" s="103"/>
      <c r="I350" s="103"/>
    </row>
    <row r="351" spans="3:9" ht="12.75">
      <c r="C351" s="103"/>
      <c r="D351" s="103"/>
      <c r="E351" s="103"/>
      <c r="F351" s="103"/>
      <c r="G351" s="103"/>
      <c r="H351" s="103"/>
      <c r="I351" s="103"/>
    </row>
    <row r="352" spans="3:9" ht="12.75">
      <c r="C352" s="103"/>
      <c r="D352" s="103"/>
      <c r="E352" s="103"/>
      <c r="F352" s="103"/>
      <c r="G352" s="103"/>
      <c r="H352" s="103"/>
      <c r="I352" s="103"/>
    </row>
    <row r="353" spans="3:9" ht="12.75">
      <c r="C353" s="103"/>
      <c r="D353" s="103"/>
      <c r="E353" s="103"/>
      <c r="F353" s="103"/>
      <c r="G353" s="103"/>
      <c r="H353" s="103"/>
      <c r="I353" s="103"/>
    </row>
    <row r="354" spans="3:9" ht="12.75">
      <c r="C354" s="103"/>
      <c r="D354" s="103"/>
      <c r="E354" s="103"/>
      <c r="F354" s="103"/>
      <c r="G354" s="103"/>
      <c r="H354" s="103"/>
      <c r="I354" s="103"/>
    </row>
  </sheetData>
  <mergeCells count="93">
    <mergeCell ref="E142:F142"/>
    <mergeCell ref="E143:F143"/>
    <mergeCell ref="D39:F39"/>
    <mergeCell ref="C214:Q214"/>
    <mergeCell ref="C191:M191"/>
    <mergeCell ref="C159:M159"/>
    <mergeCell ref="C166:C167"/>
    <mergeCell ref="D166:D167"/>
    <mergeCell ref="E166:F167"/>
    <mergeCell ref="F182:N182"/>
    <mergeCell ref="C184:M184"/>
    <mergeCell ref="C185:N185"/>
    <mergeCell ref="C186:N186"/>
    <mergeCell ref="C187:N187"/>
    <mergeCell ref="C188:N188"/>
    <mergeCell ref="C189:N189"/>
    <mergeCell ref="C160:M160"/>
    <mergeCell ref="C154:D154"/>
    <mergeCell ref="C151:D151"/>
    <mergeCell ref="C152:D152"/>
    <mergeCell ref="C125:D125"/>
    <mergeCell ref="E125:F125"/>
    <mergeCell ref="C129:D129"/>
    <mergeCell ref="C130:D130"/>
    <mergeCell ref="C131:D131"/>
    <mergeCell ref="E132:F132"/>
    <mergeCell ref="C136:D136"/>
    <mergeCell ref="E136:F136"/>
    <mergeCell ref="C140:D140"/>
    <mergeCell ref="C141:D141"/>
    <mergeCell ref="C142:D142"/>
    <mergeCell ref="C143:D143"/>
    <mergeCell ref="C153:D153"/>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47:D147"/>
    <mergeCell ref="E147:F147"/>
    <mergeCell ref="C77:D77"/>
    <mergeCell ref="E77:M77"/>
    <mergeCell ref="C99:D99"/>
    <mergeCell ref="C81:D81"/>
    <mergeCell ref="E81:F81"/>
    <mergeCell ref="C85:D85"/>
    <mergeCell ref="C86:D86"/>
    <mergeCell ref="C87:D87"/>
    <mergeCell ref="C88:D88"/>
    <mergeCell ref="C92:D92"/>
    <mergeCell ref="E92:F92"/>
    <mergeCell ref="C96:D96"/>
    <mergeCell ref="C97:D97"/>
    <mergeCell ref="C98:D98"/>
    <mergeCell ref="E73:M73"/>
    <mergeCell ref="C75:D75"/>
    <mergeCell ref="E75:M75"/>
    <mergeCell ref="C76:D76"/>
    <mergeCell ref="E76:M76"/>
    <mergeCell ref="E58:F58"/>
    <mergeCell ref="C68:M68"/>
    <mergeCell ref="C69:F69"/>
    <mergeCell ref="E71:M71"/>
    <mergeCell ref="E72:M72"/>
    <mergeCell ref="D40:F40"/>
    <mergeCell ref="D41:F41"/>
    <mergeCell ref="D43:I43"/>
    <mergeCell ref="C48:M48"/>
    <mergeCell ref="E57:F57"/>
    <mergeCell ref="E169:F169"/>
    <mergeCell ref="E170:F170"/>
    <mergeCell ref="C36:M36"/>
    <mergeCell ref="C2:M2"/>
    <mergeCell ref="D11:F11"/>
    <mergeCell ref="D12:F12"/>
    <mergeCell ref="D13:F13"/>
    <mergeCell ref="D14:F14"/>
    <mergeCell ref="D15:F15"/>
    <mergeCell ref="D16:E16"/>
    <mergeCell ref="D17:F17"/>
    <mergeCell ref="D18:F18"/>
    <mergeCell ref="D19:F19"/>
    <mergeCell ref="G20:I20"/>
    <mergeCell ref="C74:D74"/>
    <mergeCell ref="E74:M74"/>
  </mergeCells>
  <dataValidations count="3">
    <dataValidation type="list" allowBlank="1" showInputMessage="1" showErrorMessage="1" sqref="C168:C173 E124 E102 C58:C63 E80 E91 E113 E146 E135">
      <formula1>$G$21:$G$27</formula1>
    </dataValidation>
    <dataValidation type="list" allowBlank="1" showInputMessage="1" showErrorMessage="1" sqref="D168:D173 I146 I113 D58:D63 I80 I91 I102 I124 I135">
      <formula1>$C$216:$C$231</formula1>
    </dataValidation>
    <dataValidation type="list" allowBlank="1" showInputMessage="1" showErrorMessage="1" sqref="D54 G39 F177:F181 F162:F163 D52">
      <formula1>$D$216:$D$217</formula1>
    </dataValidation>
  </dataValidations>
  <printOptions/>
  <pageMargins left="0.7" right="0.7" top="0.75" bottom="0.75" header="0.3" footer="0.3"/>
  <pageSetup fitToHeight="1" fitToWidth="1" horizontalDpi="600" verticalDpi="600" orientation="portrait" paperSize="17" scale="3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2"/>
  <sheetViews>
    <sheetView showGridLines="0" tabSelected="1" zoomScale="60" zoomScaleNormal="60" workbookViewId="0" topLeftCell="D21">
      <selection activeCell="R27" activeCellId="2" sqref="L27 O27 R27"/>
    </sheetView>
  </sheetViews>
  <sheetFormatPr defaultColWidth="9.140625" defaultRowHeight="12.75"/>
  <cols>
    <col min="1" max="1" width="3.8515625" style="0" customWidth="1"/>
    <col min="2" max="2" width="40.57421875" style="0" customWidth="1"/>
    <col min="3" max="3" width="11.8515625" style="0" customWidth="1"/>
    <col min="4" max="4" width="8.7109375" style="0" customWidth="1"/>
    <col min="5" max="5" width="12.140625" style="0" customWidth="1"/>
    <col min="6" max="6" width="11.57421875" style="0" customWidth="1"/>
    <col min="7" max="7" width="9.8515625" style="0" customWidth="1"/>
    <col min="8" max="8" width="128.00390625" style="0" customWidth="1"/>
    <col min="9" max="9" width="17.140625" style="0" customWidth="1"/>
    <col min="10" max="11" width="17.140625" style="0" hidden="1" customWidth="1"/>
    <col min="12" max="12" width="17.140625" style="0" customWidth="1"/>
    <col min="13" max="14" width="17.140625" style="0" hidden="1" customWidth="1"/>
    <col min="15" max="15" width="17.140625" style="0" customWidth="1"/>
    <col min="16" max="17" width="17.140625" style="0" hidden="1" customWidth="1"/>
    <col min="18" max="18" width="17.140625" style="0" customWidth="1"/>
    <col min="19" max="19" width="18.7109375" style="0" customWidth="1"/>
    <col min="20" max="20" width="18.8515625" style="0" customWidth="1"/>
    <col min="21" max="21" width="16.421875" style="0" customWidth="1"/>
  </cols>
  <sheetData>
    <row r="1" spans="1:20" ht="17.4">
      <c r="A1" s="418" t="s">
        <v>49</v>
      </c>
      <c r="B1" s="418"/>
      <c r="C1" s="418"/>
      <c r="D1" s="418"/>
      <c r="E1" s="418"/>
      <c r="F1" s="418"/>
      <c r="G1" s="418"/>
      <c r="H1" s="418"/>
      <c r="I1" s="418"/>
      <c r="J1" s="418"/>
      <c r="K1" s="418"/>
      <c r="L1" s="418"/>
      <c r="M1" s="418"/>
      <c r="N1" s="418"/>
      <c r="O1" s="418"/>
      <c r="P1" s="418"/>
      <c r="Q1" s="418"/>
      <c r="R1" s="418"/>
      <c r="S1" s="418"/>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19" t="s">
        <v>31</v>
      </c>
      <c r="B3" s="419"/>
      <c r="C3" s="419"/>
      <c r="D3" s="419"/>
      <c r="E3" s="419"/>
      <c r="F3" s="419"/>
      <c r="G3" s="419"/>
      <c r="H3" s="419"/>
      <c r="I3" s="419"/>
      <c r="J3" s="419"/>
      <c r="K3" s="419"/>
      <c r="L3" s="419"/>
      <c r="M3" s="419"/>
      <c r="N3" s="419"/>
      <c r="O3" s="419"/>
      <c r="P3" s="419"/>
      <c r="Q3" s="419"/>
      <c r="R3" s="419"/>
      <c r="S3" s="419"/>
      <c r="T3" s="1"/>
    </row>
    <row r="4" spans="1:20" ht="3" customHeight="1" thickBot="1" thickTop="1">
      <c r="A4" s="420"/>
      <c r="B4" s="421"/>
      <c r="C4" s="421"/>
      <c r="D4" s="421"/>
      <c r="E4" s="421"/>
      <c r="F4" s="421"/>
      <c r="G4" s="421"/>
      <c r="H4" s="421"/>
      <c r="I4" s="421"/>
      <c r="J4" s="421"/>
      <c r="K4" s="421"/>
      <c r="L4" s="421"/>
      <c r="M4" s="421"/>
      <c r="N4" s="421"/>
      <c r="O4" s="421"/>
      <c r="P4" s="421"/>
      <c r="Q4" s="421"/>
      <c r="R4" s="421"/>
      <c r="S4" s="421"/>
      <c r="T4" s="1"/>
    </row>
    <row r="5" spans="1:19" ht="13.8">
      <c r="A5" s="422" t="s">
        <v>7</v>
      </c>
      <c r="B5" s="423"/>
      <c r="C5" s="423"/>
      <c r="D5" s="423"/>
      <c r="E5" s="423"/>
      <c r="F5" s="423"/>
      <c r="G5" s="423"/>
      <c r="H5" s="423"/>
      <c r="I5" s="423"/>
      <c r="J5" s="423"/>
      <c r="K5" s="423"/>
      <c r="L5" s="423"/>
      <c r="M5" s="423"/>
      <c r="N5" s="423"/>
      <c r="O5" s="423"/>
      <c r="P5" s="423"/>
      <c r="Q5" s="423"/>
      <c r="R5" s="423"/>
      <c r="S5" s="424"/>
    </row>
    <row r="6" spans="1:20" ht="13.8">
      <c r="A6" s="429" t="s">
        <v>0</v>
      </c>
      <c r="B6" s="430"/>
      <c r="C6" s="431" t="str">
        <f>IF('2b.  Complex Form Data Entry'!G11="","   ",'2b.  Complex Form Data Entry'!G11)</f>
        <v>Sale of Metro Transit Convention Place Station Property to the Washington State Convention Center</v>
      </c>
      <c r="D6" s="431"/>
      <c r="E6" s="431"/>
      <c r="F6" s="431"/>
      <c r="G6" s="431"/>
      <c r="H6" s="431"/>
      <c r="I6" s="431"/>
      <c r="J6" s="431"/>
      <c r="L6" s="276" t="s">
        <v>16</v>
      </c>
      <c r="M6" s="276"/>
      <c r="O6" s="70"/>
      <c r="Q6" s="70"/>
      <c r="R6" s="297">
        <f>IF('2b.  Complex Form Data Entry'!G17="","   ",'2b.  Complex Form Data Entry'!G17)</f>
        <v>32</v>
      </c>
      <c r="S6" s="69" t="s">
        <v>17</v>
      </c>
      <c r="T6" s="11"/>
    </row>
    <row r="7" spans="1:20" ht="13.5" customHeight="1">
      <c r="A7" s="439" t="s">
        <v>141</v>
      </c>
      <c r="B7" s="425"/>
      <c r="C7" s="438" t="str">
        <f>IF('2b.  Complex Form Data Entry'!G12="","   ",'2b.  Complex Form Data Entry'!G12)</f>
        <v>King County Metro Transit (Metro), General Fund, Facilities Management Division, Mental Illness and Drug Dependency Fund, and Housing, Tourism-Related, and Cultural Development Activity Expenditures</v>
      </c>
      <c r="D7" s="438"/>
      <c r="E7" s="438"/>
      <c r="F7" s="438"/>
      <c r="G7" s="438"/>
      <c r="H7" s="438"/>
      <c r="I7" s="438"/>
      <c r="J7" s="438"/>
      <c r="L7" s="277" t="s">
        <v>27</v>
      </c>
      <c r="M7" s="277"/>
      <c r="P7" s="71"/>
      <c r="Q7" s="71"/>
      <c r="R7" s="298">
        <f>'2b.  Complex Form Data Entry'!G18</f>
        <v>162010940</v>
      </c>
      <c r="S7" s="52"/>
      <c r="T7" s="11"/>
    </row>
    <row r="8" spans="1:20" ht="13.5" customHeight="1">
      <c r="A8" s="432" t="s">
        <v>2</v>
      </c>
      <c r="B8" s="433"/>
      <c r="C8" s="275" t="str">
        <f>IF('2b.  Complex Form Data Entry'!G15="","   ",'2b.  Complex Form Data Entry'!G15)</f>
        <v>Gregory Svidenko</v>
      </c>
      <c r="E8" s="275"/>
      <c r="F8" s="433" t="s">
        <v>8</v>
      </c>
      <c r="G8" s="433"/>
      <c r="H8" s="303" t="str">
        <f>IF('2b.  Complex Form Data Entry'!G15=""," ",'2b.  Complex Form Data Entry'!G16)</f>
        <v>1/23/17</v>
      </c>
      <c r="I8" s="275"/>
      <c r="J8" s="275"/>
      <c r="L8" s="425" t="s">
        <v>10</v>
      </c>
      <c r="M8" s="425"/>
      <c r="N8" s="425"/>
      <c r="O8" s="425"/>
      <c r="P8" s="72"/>
      <c r="Q8" s="72"/>
      <c r="R8" s="275" t="str">
        <f>IF('2b.  Complex Form Data Entry'!G13="","   ",'2b.  Complex Form Data Entry'!G13)</f>
        <v>Installment sale</v>
      </c>
      <c r="S8" s="302"/>
      <c r="T8" s="11"/>
    </row>
    <row r="9" spans="1:20" ht="13.5" customHeight="1">
      <c r="A9" s="432" t="s">
        <v>3</v>
      </c>
      <c r="B9" s="433"/>
      <c r="C9" s="278" t="s">
        <v>160</v>
      </c>
      <c r="D9" s="275"/>
      <c r="E9" s="275"/>
      <c r="F9" s="433" t="s">
        <v>13</v>
      </c>
      <c r="G9" s="433"/>
      <c r="H9" s="348" t="s">
        <v>207</v>
      </c>
      <c r="I9" s="275"/>
      <c r="J9" s="275"/>
      <c r="L9" s="425" t="s">
        <v>9</v>
      </c>
      <c r="M9" s="425"/>
      <c r="N9" s="425"/>
      <c r="O9" s="425"/>
      <c r="P9" s="53"/>
      <c r="Q9" s="53"/>
      <c r="R9" s="275" t="str">
        <f>IF('2b.  Complex Form Data Entry'!G14="","   ",'2b.  Complex Form Data Entry'!G14)</f>
        <v>Standalone</v>
      </c>
      <c r="S9" s="302"/>
      <c r="T9" s="11"/>
    </row>
    <row r="10" spans="1:20" ht="12.75">
      <c r="A10" s="304" t="s">
        <v>140</v>
      </c>
      <c r="B10" s="305"/>
      <c r="C10" s="434" t="str">
        <f>IF('2b.  Complex Form Data Entry'!G10=""," ",'2b.  Complex Form Data Entry'!G10)</f>
        <v>Sale of the Convention Place Station Property to the Washington State Convention Center</v>
      </c>
      <c r="D10" s="434"/>
      <c r="E10" s="434"/>
      <c r="F10" s="434"/>
      <c r="G10" s="434"/>
      <c r="H10" s="434"/>
      <c r="I10" s="434"/>
      <c r="J10" s="434"/>
      <c r="K10" s="434"/>
      <c r="L10" s="434"/>
      <c r="M10" s="434"/>
      <c r="N10" s="434"/>
      <c r="O10" s="434"/>
      <c r="P10" s="434"/>
      <c r="Q10" s="434"/>
      <c r="R10" s="434"/>
      <c r="S10" s="435"/>
      <c r="T10" s="11"/>
    </row>
    <row r="11" spans="1:20" ht="4.2" customHeight="1" thickBot="1">
      <c r="A11" s="306"/>
      <c r="B11" s="307"/>
      <c r="C11" s="436"/>
      <c r="D11" s="436"/>
      <c r="E11" s="436"/>
      <c r="F11" s="436"/>
      <c r="G11" s="436"/>
      <c r="H11" s="436"/>
      <c r="I11" s="436"/>
      <c r="J11" s="436"/>
      <c r="K11" s="436"/>
      <c r="L11" s="436"/>
      <c r="M11" s="436"/>
      <c r="N11" s="436"/>
      <c r="O11" s="436"/>
      <c r="P11" s="436"/>
      <c r="Q11" s="436"/>
      <c r="R11" s="436"/>
      <c r="S11" s="437"/>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19" t="s">
        <v>14</v>
      </c>
      <c r="B13" s="419"/>
      <c r="C13" s="419"/>
      <c r="D13" s="419"/>
      <c r="E13" s="419"/>
      <c r="F13" s="419"/>
      <c r="G13" s="419"/>
      <c r="H13" s="419"/>
      <c r="I13" s="419"/>
      <c r="J13" s="419"/>
      <c r="K13" s="419"/>
      <c r="L13" s="419"/>
      <c r="M13" s="419"/>
      <c r="N13" s="419"/>
      <c r="O13" s="419"/>
      <c r="P13" s="419"/>
      <c r="Q13" s="419"/>
      <c r="R13" s="419"/>
      <c r="S13" s="419"/>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26" t="s">
        <v>32</v>
      </c>
      <c r="B15" s="426"/>
      <c r="C15" s="426"/>
      <c r="D15" s="426"/>
      <c r="E15" s="426"/>
      <c r="F15" s="426"/>
      <c r="G15" s="426"/>
      <c r="H15" s="426"/>
      <c r="I15" s="426"/>
      <c r="J15" s="426"/>
      <c r="K15" s="426"/>
      <c r="L15" s="426"/>
      <c r="M15" s="426"/>
      <c r="N15" s="426"/>
      <c r="O15" s="426"/>
      <c r="P15" s="426"/>
      <c r="Q15" s="426"/>
      <c r="R15" s="426"/>
      <c r="S15" s="426"/>
      <c r="T15" s="11"/>
    </row>
    <row r="16" spans="1:20" ht="3" customHeight="1" thickBot="1" thickTop="1">
      <c r="A16" s="3"/>
      <c r="B16" s="3"/>
      <c r="D16" s="3"/>
      <c r="E16" s="2"/>
      <c r="F16" s="2"/>
      <c r="G16" s="2"/>
      <c r="H16" s="2"/>
      <c r="I16" s="2"/>
      <c r="J16" s="2"/>
      <c r="K16" s="2"/>
      <c r="L16" s="2"/>
      <c r="M16" s="2"/>
      <c r="N16" s="2"/>
      <c r="O16" s="2"/>
      <c r="P16" s="2"/>
      <c r="Q16" s="2"/>
      <c r="R16" s="2"/>
      <c r="T16" s="11"/>
    </row>
    <row r="17" spans="1:20" ht="16.95" customHeight="1" thickBot="1">
      <c r="A17" s="475" t="s">
        <v>135</v>
      </c>
      <c r="B17" s="475"/>
      <c r="C17" s="475"/>
      <c r="D17" s="476"/>
      <c r="E17" s="461" t="str">
        <f>IF('2b.  Complex Form Data Entry'!G39="N","NA",'2b.  Complex Form Data Entry'!G40)</f>
        <v>NA</v>
      </c>
      <c r="F17" s="462"/>
      <c r="G17" s="463"/>
      <c r="H17" s="477" t="s">
        <v>190</v>
      </c>
      <c r="I17" s="478"/>
      <c r="J17" s="478"/>
      <c r="K17" s="478"/>
      <c r="L17" s="478"/>
      <c r="M17" s="478"/>
      <c r="N17" s="290"/>
      <c r="O17" s="461" t="str">
        <f>IF('2b.  Complex Form Data Entry'!G39="N","NA",'2b.  Complex Form Data Entry'!G41)</f>
        <v>NA</v>
      </c>
      <c r="P17" s="462"/>
      <c r="Q17" s="462"/>
      <c r="R17" s="462"/>
      <c r="S17" s="463"/>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26" t="s">
        <v>33</v>
      </c>
      <c r="B19" s="426"/>
      <c r="C19" s="426"/>
      <c r="D19" s="426"/>
      <c r="E19" s="426"/>
      <c r="F19" s="426"/>
      <c r="G19" s="426"/>
      <c r="H19" s="426"/>
      <c r="I19" s="426"/>
      <c r="J19" s="426"/>
      <c r="K19" s="426"/>
      <c r="L19" s="426"/>
      <c r="M19" s="426"/>
      <c r="N19" s="426"/>
      <c r="O19" s="426"/>
      <c r="P19" s="426"/>
      <c r="Q19" s="426"/>
      <c r="R19" s="426"/>
      <c r="S19" s="426"/>
      <c r="T19" s="11"/>
    </row>
    <row r="20" spans="1:20" ht="3" customHeight="1" thickTop="1">
      <c r="A20" s="3"/>
      <c r="B20" s="3"/>
      <c r="D20" s="3"/>
      <c r="E20" s="2"/>
      <c r="F20" s="2"/>
      <c r="G20" s="2"/>
      <c r="H20" s="2"/>
      <c r="I20" s="2"/>
      <c r="J20" s="2"/>
      <c r="K20" s="2"/>
      <c r="L20" s="2"/>
      <c r="M20" s="2"/>
      <c r="N20" s="2"/>
      <c r="O20" s="2"/>
      <c r="P20" s="2"/>
      <c r="Q20" s="2"/>
      <c r="R20" s="2"/>
      <c r="T20" s="11"/>
    </row>
    <row r="21" spans="1:20" ht="16.8">
      <c r="A21" s="37" t="s">
        <v>114</v>
      </c>
      <c r="B21" s="2"/>
      <c r="D21" s="3"/>
      <c r="E21" s="3"/>
      <c r="F21" s="3"/>
      <c r="G21" s="3"/>
      <c r="H21" s="3"/>
      <c r="I21" s="3"/>
      <c r="J21" s="3"/>
      <c r="K21" s="3"/>
      <c r="L21" s="3"/>
      <c r="M21" s="3"/>
      <c r="N21" s="3"/>
      <c r="O21" s="3"/>
      <c r="P21" s="3"/>
      <c r="Q21" s="3"/>
      <c r="R21" s="3"/>
      <c r="T21" s="11"/>
    </row>
    <row r="22" spans="1:20" ht="3" customHeight="1">
      <c r="A22" s="169"/>
      <c r="B22" s="170"/>
      <c r="C22" s="170"/>
      <c r="D22" s="170"/>
      <c r="E22" s="170"/>
      <c r="F22" s="170"/>
      <c r="G22" s="170"/>
      <c r="H22" s="170"/>
      <c r="I22" s="170"/>
      <c r="J22" s="170"/>
      <c r="K22" s="170"/>
      <c r="L22" s="279"/>
      <c r="M22" s="170"/>
      <c r="N22" s="170"/>
      <c r="O22" s="279"/>
      <c r="P22" s="279"/>
      <c r="Q22" s="279"/>
      <c r="R22" s="279"/>
      <c r="S22" s="170"/>
      <c r="T22" s="11"/>
    </row>
    <row r="23" spans="1:20" ht="16.8" thickBot="1">
      <c r="A23" s="10" t="s">
        <v>136</v>
      </c>
      <c r="B23" s="10"/>
      <c r="C23" s="2"/>
      <c r="D23" s="3"/>
      <c r="E23" s="3"/>
      <c r="F23" s="3"/>
      <c r="G23" s="3"/>
      <c r="H23" s="3"/>
      <c r="I23" s="3"/>
      <c r="J23" s="3"/>
      <c r="K23" s="3"/>
      <c r="L23" s="3"/>
      <c r="M23" s="3"/>
      <c r="N23" s="3"/>
      <c r="O23" s="3"/>
      <c r="P23" s="3"/>
      <c r="Q23" s="3"/>
      <c r="R23" s="3"/>
      <c r="T23" s="11"/>
    </row>
    <row r="24" spans="1:20" ht="30.6" thickBot="1">
      <c r="A24" s="89" t="s">
        <v>18</v>
      </c>
      <c r="B24" s="90"/>
      <c r="C24" s="91"/>
      <c r="D24" s="92" t="s">
        <v>28</v>
      </c>
      <c r="E24" s="92" t="s">
        <v>29</v>
      </c>
      <c r="F24" s="92" t="s">
        <v>103</v>
      </c>
      <c r="G24" s="99" t="s">
        <v>11</v>
      </c>
      <c r="H24" s="92" t="s">
        <v>54</v>
      </c>
      <c r="I24" s="92" t="str">
        <f>'2b.  Complex Form Data Entry'!N57</f>
        <v>Sum of Revenues Prior to 2017</v>
      </c>
      <c r="J24" s="92">
        <f>'2b.  Complex Form Data Entry'!G19</f>
        <v>2017</v>
      </c>
      <c r="K24" s="93">
        <f>J24+1</f>
        <v>2018</v>
      </c>
      <c r="L24" s="93" t="str">
        <f>CONCATENATE(J24," / ",K24)</f>
        <v>2017 / 2018</v>
      </c>
      <c r="M24" s="93">
        <f>K24+1</f>
        <v>2019</v>
      </c>
      <c r="N24" s="93">
        <f>M24+1</f>
        <v>2020</v>
      </c>
      <c r="O24" s="93" t="str">
        <f>CONCATENATE(M24," / ",N24)</f>
        <v>2019 / 2020</v>
      </c>
      <c r="P24" s="93">
        <f>N24+1</f>
        <v>2021</v>
      </c>
      <c r="Q24" s="93">
        <f>P24+1</f>
        <v>2022</v>
      </c>
      <c r="R24" s="93" t="str">
        <f>CONCATENATE(P24," / ",Q24)</f>
        <v>2021 / 2022</v>
      </c>
      <c r="S24" s="94" t="s">
        <v>116</v>
      </c>
      <c r="T24" s="11"/>
    </row>
    <row r="25" spans="1:20" ht="13.8">
      <c r="A25" s="86" t="str">
        <f>IF('2b.  Complex Form Data Entry'!C58="","   ",'2b.  Complex Form Data Entry'!C58)</f>
        <v>Housing, Tourism-Related, and Cultural Development Activities</v>
      </c>
      <c r="B25" s="76"/>
      <c r="C25" s="76"/>
      <c r="D25" s="162"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Various</v>
      </c>
      <c r="E25" s="87"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Various</v>
      </c>
      <c r="F25" s="162"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Various</v>
      </c>
      <c r="G25" s="88" t="str">
        <f>IF(A25="","   ",'2b.  Complex Form Data Entry'!D58)</f>
        <v xml:space="preserve"> </v>
      </c>
      <c r="H25" s="180" t="str">
        <f>IF('2b.  Complex Form Data Entry'!E58="","   ",'2b.  Complex Form Data Entry'!E58)</f>
        <v>Hotel/Motel Tax</v>
      </c>
      <c r="I25" s="78">
        <f>'2b.  Complex Form Data Entry'!N58</f>
        <v>0</v>
      </c>
      <c r="J25" s="78">
        <f>'2b.  Complex Form Data Entry'!G58</f>
        <v>0</v>
      </c>
      <c r="K25" s="78">
        <f>'2b.  Complex Form Data Entry'!H58</f>
        <v>0</v>
      </c>
      <c r="L25" s="78">
        <f>J25+K25</f>
        <v>0</v>
      </c>
      <c r="M25" s="78">
        <f>'2b.  Complex Form Data Entry'!I58</f>
        <v>0</v>
      </c>
      <c r="N25" s="78">
        <f>'2b.  Complex Form Data Entry'!J58</f>
        <v>0</v>
      </c>
      <c r="O25" s="78">
        <f aca="true" t="shared" si="0" ref="O25:O32">M25+N25</f>
        <v>0</v>
      </c>
      <c r="P25" s="75">
        <f>'2b.  Complex Form Data Entry'!K58</f>
        <v>0</v>
      </c>
      <c r="Q25" s="75">
        <f>'2b.  Complex Form Data Entry'!L58</f>
        <v>0</v>
      </c>
      <c r="R25" s="78">
        <f aca="true" t="shared" si="1" ref="R25:R32">P25+Q25</f>
        <v>0</v>
      </c>
      <c r="S25" s="321" t="s">
        <v>151</v>
      </c>
      <c r="T25" s="11"/>
    </row>
    <row r="26" spans="1:20" ht="13.8">
      <c r="A26" s="82" t="str">
        <f>IF('2b.  Complex Form Data Entry'!C59="","   ",'2b.  Complex Form Data Entry'!C59)</f>
        <v>Finance General Fund</v>
      </c>
      <c r="B26" s="73"/>
      <c r="C26" s="73"/>
      <c r="D26" s="162"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A15000</v>
      </c>
      <c r="E26" s="87"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GF</v>
      </c>
      <c r="F26" s="162"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0010</v>
      </c>
      <c r="G26" s="88" t="str">
        <f>IF(A26="","   ",'2b.  Complex Form Data Entry'!D59)</f>
        <v xml:space="preserve"> </v>
      </c>
      <c r="H26" s="74" t="str">
        <f>IF('2b.  Complex Form Data Entry'!E59="","   ",'2b.  Complex Form Data Entry'!E59)</f>
        <v>General Fund sales tax revenue related to new construction associated with the property transaction</v>
      </c>
      <c r="I26" s="78">
        <f>'2b.  Complex Form Data Entry'!N59</f>
        <v>0</v>
      </c>
      <c r="J26" s="75">
        <f>'2b.  Complex Form Data Entry'!G59</f>
        <v>80833.33333333333</v>
      </c>
      <c r="K26" s="75">
        <f>'2b.  Complex Form Data Entry'!H59</f>
        <v>428000</v>
      </c>
      <c r="L26" s="78">
        <f aca="true" t="shared" si="2" ref="L26:L32">J26+K26</f>
        <v>508833.3333333333</v>
      </c>
      <c r="M26" s="75">
        <f>'2b.  Complex Form Data Entry'!I59</f>
        <v>532666.6666666666</v>
      </c>
      <c r="N26" s="75">
        <f>'2b.  Complex Form Data Entry'!J59</f>
        <v>277333.3333333333</v>
      </c>
      <c r="O26" s="78">
        <f t="shared" si="0"/>
        <v>810000</v>
      </c>
      <c r="P26" s="75">
        <f>'2b.  Complex Form Data Entry'!K59</f>
        <v>101666.66666666667</v>
      </c>
      <c r="Q26" s="75">
        <f>'2b.  Complex Form Data Entry'!L59</f>
        <v>0</v>
      </c>
      <c r="R26" s="78">
        <f t="shared" si="1"/>
        <v>101666.66666666667</v>
      </c>
      <c r="S26" s="85">
        <f>'2b.  Complex Form Data Entry'!M59</f>
        <v>0</v>
      </c>
      <c r="T26" s="339"/>
    </row>
    <row r="27" spans="1:20" ht="13.8">
      <c r="A27" s="82" t="str">
        <f>IF('2b.  Complex Form Data Entry'!C60="","   ",'2b.  Complex Form Data Entry'!C60)</f>
        <v>Metro Transit Operating Fund</v>
      </c>
      <c r="B27" s="83"/>
      <c r="C27" s="83"/>
      <c r="D27" s="162"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A46410</v>
      </c>
      <c r="E27" s="87"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DOT</v>
      </c>
      <c r="F27" s="162">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4641</v>
      </c>
      <c r="G27" s="88" t="str">
        <f>IF(A27="","   ",'2b.  Complex Form Data Entry'!D60)</f>
        <v xml:space="preserve"> </v>
      </c>
      <c r="H27" s="182" t="str">
        <f>IF('2b.  Complex Form Data Entry'!E60="","   ",'2b.  Complex Form Data Entry'!E60)</f>
        <v>Metro Transit sales tax revenue related to new construction associated with the property transaction</v>
      </c>
      <c r="I27" s="78">
        <f>'2b.  Complex Form Data Entry'!N60</f>
        <v>0</v>
      </c>
      <c r="J27" s="75">
        <f>'2b.  Complex Form Data Entry'!G60</f>
        <v>485000</v>
      </c>
      <c r="K27" s="75">
        <f>'2b.  Complex Form Data Entry'!H60</f>
        <v>2568000</v>
      </c>
      <c r="L27" s="78">
        <f t="shared" si="2"/>
        <v>3053000</v>
      </c>
      <c r="M27" s="75">
        <f>'2b.  Complex Form Data Entry'!I60</f>
        <v>3196000</v>
      </c>
      <c r="N27" s="75">
        <f>'2b.  Complex Form Data Entry'!J60</f>
        <v>1664000</v>
      </c>
      <c r="O27" s="78">
        <f t="shared" si="0"/>
        <v>4860000</v>
      </c>
      <c r="P27" s="75">
        <f>'2b.  Complex Form Data Entry'!K60</f>
        <v>610000</v>
      </c>
      <c r="Q27" s="75">
        <f>'2b.  Complex Form Data Entry'!L60</f>
        <v>0</v>
      </c>
      <c r="R27" s="78">
        <f t="shared" si="1"/>
        <v>610000</v>
      </c>
      <c r="S27" s="85">
        <f>'2b.  Complex Form Data Entry'!M60</f>
        <v>0</v>
      </c>
      <c r="T27" s="339"/>
    </row>
    <row r="28" spans="1:20" ht="13.8">
      <c r="A28" s="82" t="str">
        <f>IF('2b.  Complex Form Data Entry'!C61="","   ",'2b.  Complex Form Data Entry'!C61)</f>
        <v>Metro Transit Capital Fund</v>
      </c>
      <c r="B28" s="83"/>
      <c r="C28" s="83"/>
      <c r="D28" s="162"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C36410</v>
      </c>
      <c r="E28" s="87"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DOT</v>
      </c>
      <c r="F28" s="162">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3641</v>
      </c>
      <c r="G28" s="88" t="str">
        <f>IF(A28="","   ",'2b.  Complex Form Data Entry'!D61)</f>
        <v xml:space="preserve"> </v>
      </c>
      <c r="H28" s="182" t="str">
        <f>IF('2b.  Complex Form Data Entry'!E61="","   ",'2b.  Complex Form Data Entry'!E61)</f>
        <v>Proceeds of sale - see note 5</v>
      </c>
      <c r="I28" s="78">
        <f>'2b.  Complex Form Data Entry'!N61</f>
        <v>0</v>
      </c>
      <c r="J28" s="75">
        <v>20000000</v>
      </c>
      <c r="K28" s="75">
        <v>1410109</v>
      </c>
      <c r="L28" s="78">
        <f t="shared" si="2"/>
        <v>21410109</v>
      </c>
      <c r="M28" s="75">
        <v>1410109</v>
      </c>
      <c r="N28" s="75">
        <v>1410109</v>
      </c>
      <c r="O28" s="78">
        <f>SUM(M28:N28)</f>
        <v>2820218</v>
      </c>
      <c r="P28" s="75">
        <v>1410109</v>
      </c>
      <c r="Q28" s="75">
        <v>1410109</v>
      </c>
      <c r="R28" s="78">
        <f>P28+Q28</f>
        <v>2820218</v>
      </c>
      <c r="S28" s="85">
        <f>'2b.  Complex Form Data Entry'!M61</f>
        <v>248300000</v>
      </c>
      <c r="T28" s="339"/>
    </row>
    <row r="29" spans="1:20" ht="13.8">
      <c r="A29" s="82" t="str">
        <f>IF('2b.  Complex Form Data Entry'!C62="","   ",'2b.  Complex Form Data Entry'!C62)</f>
        <v>Facilities Management Division/RES</v>
      </c>
      <c r="B29" s="84"/>
      <c r="C29" s="84"/>
      <c r="D29" s="162"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A44000</v>
      </c>
      <c r="E29" s="87"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DES</v>
      </c>
      <c r="F29" s="162"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0010</v>
      </c>
      <c r="G29" s="88" t="str">
        <f>IF(A29="","   ",'2b.  Complex Form Data Entry'!D62)</f>
        <v xml:space="preserve"> </v>
      </c>
      <c r="H29" s="182" t="str">
        <f>IF('2b.  Complex Form Data Entry'!E62="","   ",'2b.  Complex Form Data Entry'!E62)</f>
        <v>Proceeds of sale - see note 5</v>
      </c>
      <c r="I29" s="78">
        <f>'2b.  Complex Form Data Entry'!N62</f>
        <v>0</v>
      </c>
      <c r="J29" s="75">
        <f>'2b.  Complex Form Data Entry'!G62</f>
        <v>403000</v>
      </c>
      <c r="K29" s="75">
        <f>'2b.  Complex Form Data Entry'!H62</f>
        <v>0</v>
      </c>
      <c r="L29" s="78">
        <f t="shared" si="2"/>
        <v>403000</v>
      </c>
      <c r="M29" s="75">
        <f>'2b.  Complex Form Data Entry'!I62</f>
        <v>0</v>
      </c>
      <c r="N29" s="75">
        <f>'2b.  Complex Form Data Entry'!J62</f>
        <v>0</v>
      </c>
      <c r="O29" s="78">
        <f t="shared" si="0"/>
        <v>0</v>
      </c>
      <c r="P29" s="75">
        <f>'2b.  Complex Form Data Entry'!K62</f>
        <v>0</v>
      </c>
      <c r="Q29" s="75">
        <f>'2b.  Complex Form Data Entry'!L62</f>
        <v>0</v>
      </c>
      <c r="R29" s="78">
        <f t="shared" si="1"/>
        <v>0</v>
      </c>
      <c r="S29" s="85">
        <f>'2b.  Complex Form Data Entry'!M62</f>
        <v>0</v>
      </c>
      <c r="T29" s="11"/>
    </row>
    <row r="30" spans="1:20" ht="13.8">
      <c r="A30" s="82" t="s">
        <v>192</v>
      </c>
      <c r="B30" s="84"/>
      <c r="C30" s="84"/>
      <c r="D30" s="162"/>
      <c r="E30" s="87" t="s">
        <v>168</v>
      </c>
      <c r="F30" s="162"/>
      <c r="G30" s="88"/>
      <c r="H30" s="182" t="s">
        <v>197</v>
      </c>
      <c r="I30" s="78">
        <f>'2b.  Complex Form Data Entry'!N63</f>
        <v>0</v>
      </c>
      <c r="J30" s="75"/>
      <c r="K30" s="75"/>
      <c r="L30" s="341" t="s">
        <v>193</v>
      </c>
      <c r="M30" s="75"/>
      <c r="N30" s="75"/>
      <c r="O30" s="341" t="s">
        <v>193</v>
      </c>
      <c r="P30" s="75"/>
      <c r="Q30" s="75"/>
      <c r="R30" s="78">
        <f t="shared" si="1"/>
        <v>0</v>
      </c>
      <c r="S30" s="85">
        <f>'2b.  Complex Form Data Entry'!M63</f>
        <v>0</v>
      </c>
      <c r="T30" s="11"/>
    </row>
    <row r="31" spans="1:20" ht="13.8">
      <c r="A31" s="82" t="str">
        <f>IF('2b.  Complex Form Data Entry'!C63="","   ",'2b.  Complex Form Data Entry'!C63)</f>
        <v>Mental Illness and Drug Dependency Fund</v>
      </c>
      <c r="B31" s="84"/>
      <c r="C31" s="84"/>
      <c r="D31" s="162" t="str">
        <f>IF(A31="   ","   ",IF(A31='2b.  Complex Form Data Entry'!$G$21,'2b.  Complex Form Data Entry'!J$21,IF(A31='2b.  Complex Form Data Entry'!$G$22,'2b.  Complex Form Data Entry'!J$22,IF(A31='2b.  Complex Form Data Entry'!$G$23,'2b.  Complex Form Data Entry'!J$23,IF(A31='2b.  Complex Form Data Entry'!$G$24,'2b.  Complex Form Data Entry'!$J$24,IF(A31='2b.  Complex Form Data Entry'!$G$25,'2b.  Complex Form Data Entry'!J$25,IF(A31='2b.  Complex Form Data Entry'!$G$26,'2b.  Complex Form Data Entry'!J$26,"   ")))))))</f>
        <v>A99000</v>
      </c>
      <c r="E31" s="87" t="str">
        <f>IF(A31="   ","   ",IF(A31='2b.  Complex Form Data Entry'!$G$21,'2b.  Complex Form Data Entry'!K$21,IF(A31='2b.  Complex Form Data Entry'!$G$22,'2b.  Complex Form Data Entry'!K$22,IF(A31='2b.  Complex Form Data Entry'!$G$23,'2b.  Complex Form Data Entry'!K$23,IF(A31='2b.  Complex Form Data Entry'!$G$24,'2b.  Complex Form Data Entry'!$K$24,IF(A31='2b.  Complex Form Data Entry'!G$25,'2b.  Complex Form Data Entry'!K$25,IF(A31='2b.  Complex Form Data Entry'!G$26,'2b.  Complex Form Data Entry'!K$26,"   ")))))))</f>
        <v>DCHS</v>
      </c>
      <c r="F31" s="162">
        <f>IF(A31="   ","   ",IF(A31='2b.  Complex Form Data Entry'!$G$21,'2b.  Complex Form Data Entry'!L$21,IF(A31='2b.  Complex Form Data Entry'!$G$22,'2b.  Complex Form Data Entry'!L$22,IF(A31='2b.  Complex Form Data Entry'!$G$23,'2b.  Complex Form Data Entry'!L$23,IF(A31='2b.  Complex Form Data Entry'!$G$24,'2b.  Complex Form Data Entry'!$L$24,IF(A31='2b.  Complex Form Data Entry'!G$25,'2b.  Complex Form Data Entry'!L$25,IF(A31='2b.  Complex Form Data Entry'!G$26,'2b.  Complex Form Data Entry'!L$26,"   ")))))))</f>
        <v>1135</v>
      </c>
      <c r="G31" s="88" t="str">
        <f>IF(A31="","   ",'2b.  Complex Form Data Entry'!D63)</f>
        <v xml:space="preserve"> </v>
      </c>
      <c r="H31" s="182" t="str">
        <f>IF('2b.  Complex Form Data Entry'!E63="","   ",'2b.  Complex Form Data Entry'!E63)</f>
        <v>MIDD sales tax revenue related to new construction associated with the property transaction</v>
      </c>
      <c r="I31" s="78">
        <f>'2b.  Complex Form Data Entry'!N63</f>
        <v>0</v>
      </c>
      <c r="J31" s="75">
        <f>'2b.  Complex Form Data Entry'!G63</f>
        <v>53888.88888888889</v>
      </c>
      <c r="K31" s="75">
        <f>'2b.  Complex Form Data Entry'!H63</f>
        <v>285333.3333333333</v>
      </c>
      <c r="L31" s="78">
        <f t="shared" si="2"/>
        <v>339222.2222222222</v>
      </c>
      <c r="M31" s="75">
        <f>'2b.  Complex Form Data Entry'!I63</f>
        <v>355111.1111111111</v>
      </c>
      <c r="N31" s="98">
        <f>'2b.  Complex Form Data Entry'!J63</f>
        <v>184888.88888888888</v>
      </c>
      <c r="O31" s="78">
        <f t="shared" si="0"/>
        <v>540000</v>
      </c>
      <c r="P31" s="98">
        <f>'2b.  Complex Form Data Entry'!K63</f>
        <v>67777.77777777778</v>
      </c>
      <c r="Q31" s="98">
        <f>'2b.  Complex Form Data Entry'!L63</f>
        <v>0</v>
      </c>
      <c r="R31" s="78">
        <f t="shared" si="1"/>
        <v>67777.77777777778</v>
      </c>
      <c r="S31" s="85">
        <f>'2b.  Complex Form Data Entry'!M63</f>
        <v>0</v>
      </c>
      <c r="T31" s="339"/>
    </row>
    <row r="32" spans="1:20" ht="14.4" thickBot="1">
      <c r="A32" s="6"/>
      <c r="B32" s="7"/>
      <c r="C32" s="273" t="s">
        <v>4</v>
      </c>
      <c r="D32" s="8"/>
      <c r="E32" s="8"/>
      <c r="F32" s="8"/>
      <c r="G32" s="8"/>
      <c r="H32" s="183"/>
      <c r="I32" s="54">
        <f aca="true" t="shared" si="3" ref="I32:S32">SUM(I25:I31)</f>
        <v>0</v>
      </c>
      <c r="J32" s="54">
        <f t="shared" si="3"/>
        <v>21022722.22222222</v>
      </c>
      <c r="K32" s="54">
        <f t="shared" si="3"/>
        <v>4691442.333333333</v>
      </c>
      <c r="L32" s="54">
        <f t="shared" si="2"/>
        <v>25714164.555555552</v>
      </c>
      <c r="M32" s="54">
        <f t="shared" si="3"/>
        <v>5493886.777777777</v>
      </c>
      <c r="N32" s="54">
        <f t="shared" si="3"/>
        <v>3536331.222222222</v>
      </c>
      <c r="O32" s="54">
        <f t="shared" si="0"/>
        <v>9030218</v>
      </c>
      <c r="P32" s="54">
        <f aca="true" t="shared" si="4" ref="P32:Q32">SUM(P25:P31)</f>
        <v>2189553.4444444445</v>
      </c>
      <c r="Q32" s="54">
        <f t="shared" si="4"/>
        <v>1410109</v>
      </c>
      <c r="R32" s="54">
        <f t="shared" si="1"/>
        <v>3599662.4444444445</v>
      </c>
      <c r="S32" s="63">
        <f t="shared" si="3"/>
        <v>248300000</v>
      </c>
      <c r="T32" s="11"/>
    </row>
    <row r="33" spans="1:20" ht="3" customHeight="1">
      <c r="A33" s="3"/>
      <c r="B33" s="3"/>
      <c r="C33" s="3"/>
      <c r="D33" s="3"/>
      <c r="E33" s="3"/>
      <c r="F33" s="3"/>
      <c r="G33" s="3"/>
      <c r="H33" s="3"/>
      <c r="I33" s="3"/>
      <c r="J33" s="4"/>
      <c r="K33" s="4"/>
      <c r="L33" s="4"/>
      <c r="M33" s="4"/>
      <c r="N33" s="4"/>
      <c r="O33" s="4"/>
      <c r="P33" s="4"/>
      <c r="Q33" s="4"/>
      <c r="R33" s="4"/>
      <c r="T33" s="11"/>
    </row>
    <row r="34" spans="1:20" ht="16.8" thickBot="1">
      <c r="A34" s="9" t="s">
        <v>137</v>
      </c>
      <c r="B34" s="9"/>
      <c r="C34" s="2"/>
      <c r="D34" s="2"/>
      <c r="E34" s="3"/>
      <c r="F34" s="3"/>
      <c r="G34" s="3"/>
      <c r="H34" s="3"/>
      <c r="I34" s="3"/>
      <c r="J34" s="68"/>
      <c r="K34" s="3"/>
      <c r="L34" s="3"/>
      <c r="M34" s="3"/>
      <c r="N34" s="3"/>
      <c r="O34" s="3"/>
      <c r="P34" s="3"/>
      <c r="Q34" s="3"/>
      <c r="R34" s="3"/>
      <c r="T34" s="11"/>
    </row>
    <row r="35" spans="1:20" ht="42" thickBot="1">
      <c r="A35" s="89" t="s">
        <v>51</v>
      </c>
      <c r="B35" s="90"/>
      <c r="C35" s="91"/>
      <c r="D35" s="92" t="s">
        <v>28</v>
      </c>
      <c r="E35" s="93" t="s">
        <v>5</v>
      </c>
      <c r="F35" s="92" t="s">
        <v>103</v>
      </c>
      <c r="G35" s="92" t="s">
        <v>11</v>
      </c>
      <c r="H35" s="92" t="s">
        <v>22</v>
      </c>
      <c r="I35" s="92" t="str">
        <f>'2b.  Complex Form Data Entry'!N81</f>
        <v>Sum of Expenditures Prior to 2017</v>
      </c>
      <c r="J35" s="92">
        <f>'2b.  Complex Form Data Entry'!G19</f>
        <v>2017</v>
      </c>
      <c r="K35" s="93">
        <f>J35+1</f>
        <v>2018</v>
      </c>
      <c r="L35" s="93" t="str">
        <f>CONCATENATE(J35," / ",K35)</f>
        <v>2017 / 2018</v>
      </c>
      <c r="M35" s="93">
        <f>K35+1</f>
        <v>2019</v>
      </c>
      <c r="N35" s="93">
        <f>M35+1</f>
        <v>2020</v>
      </c>
      <c r="O35" s="93" t="str">
        <f>CONCATENATE(M35," / ",N35)</f>
        <v>2019 / 2020</v>
      </c>
      <c r="P35" s="93">
        <f>N35+1</f>
        <v>2021</v>
      </c>
      <c r="Q35" s="93">
        <f>P35+1</f>
        <v>2022</v>
      </c>
      <c r="R35" s="93" t="str">
        <f>CONCATENATE(P35," / ",Q35)</f>
        <v>2021 / 2022</v>
      </c>
      <c r="S35" s="94" t="s">
        <v>116</v>
      </c>
      <c r="T35" s="12"/>
    </row>
    <row r="36" spans="1:20" ht="13.8">
      <c r="A36" s="472" t="str">
        <f>IF('2b.  Complex Form Data Entry'!E80="","   ",'2b.  Complex Form Data Entry'!E80)</f>
        <v>Metro Transit Capital Fund</v>
      </c>
      <c r="B36" s="473"/>
      <c r="C36" s="474"/>
      <c r="D36" s="162" t="str">
        <f>IF(A36="   ","   ",IF(A36='2b.  Complex Form Data Entry'!$G$21,'2b.  Complex Form Data Entry'!J$21,IF(A36='2b.  Complex Form Data Entry'!$G$22,'2b.  Complex Form Data Entry'!J$22,IF(A36='2b.  Complex Form Data Entry'!$G$23,'2b.  Complex Form Data Entry'!J$23,IF(A36='2b.  Complex Form Data Entry'!$G$24,'2b.  Complex Form Data Entry'!$J$24,IF(A36='2b.  Complex Form Data Entry'!$G$25,'2b.  Complex Form Data Entry'!J$25,IF(A36='2b.  Complex Form Data Entry'!$G$26,'2b.  Complex Form Data Entry'!J$26,"   ")))))))</f>
        <v>C36410</v>
      </c>
      <c r="E36" s="87" t="str">
        <f>IF(A36="   ","   ",IF(A36='2b.  Complex Form Data Entry'!$G$21,'2b.  Complex Form Data Entry'!K$21,IF(A36='2b.  Complex Form Data Entry'!$G$22,'2b.  Complex Form Data Entry'!K$22,IF(A36='2b.  Complex Form Data Entry'!$G$23,'2b.  Complex Form Data Entry'!K$23,IF(A36='2b.  Complex Form Data Entry'!$G$24,'2b.  Complex Form Data Entry'!$K$24,IF(A36='2b.  Complex Form Data Entry'!G$25,'2b.  Complex Form Data Entry'!K$25,IF(A36='2b.  Complex Form Data Entry'!G$26,'2b.  Complex Form Data Entry'!K$26,"   ")))))))</f>
        <v>DOT</v>
      </c>
      <c r="F36" s="162">
        <f>IF(A36="   ","   ",IF(A36='2b.  Complex Form Data Entry'!$G$21,'2b.  Complex Form Data Entry'!L$21,IF(A36='2b.  Complex Form Data Entry'!$G$22,'2b.  Complex Form Data Entry'!L$22,IF(A36='2b.  Complex Form Data Entry'!$G$23,'2b.  Complex Form Data Entry'!L$23,IF(A36='2b.  Complex Form Data Entry'!$G$24,'2b.  Complex Form Data Entry'!$L$24,IF(A36='2b.  Complex Form Data Entry'!G$25,'2b.  Complex Form Data Entry'!L$25,IF(A36='2b.  Complex Form Data Entry'!G$26,'2b.  Complex Form Data Entry'!L$26,"   ")))))))</f>
        <v>3641</v>
      </c>
      <c r="G36" s="77" t="str">
        <f>IF('2b.  Complex Form Data Entry'!I80="","   ",'2b.  Complex Form Data Entry'!I80)</f>
        <v>1028624</v>
      </c>
      <c r="H36" s="45"/>
      <c r="I36" s="45"/>
      <c r="J36" s="17"/>
      <c r="K36" s="14"/>
      <c r="L36" s="15"/>
      <c r="M36" s="15"/>
      <c r="N36" s="14"/>
      <c r="O36" s="15"/>
      <c r="P36" s="15"/>
      <c r="Q36" s="15"/>
      <c r="R36" s="15"/>
      <c r="S36" s="95"/>
      <c r="T36" s="12"/>
    </row>
    <row r="37" spans="1:20" ht="13.5" customHeight="1" hidden="1">
      <c r="A37" s="16"/>
      <c r="B37" s="49" t="s">
        <v>21</v>
      </c>
      <c r="C37" s="20"/>
      <c r="D37" s="44"/>
      <c r="E37" s="44"/>
      <c r="F37" s="44"/>
      <c r="G37" s="44"/>
      <c r="H37" s="184" t="str">
        <f>IF('2b.  Complex Form Data Entry'!E82="","  ",'2b.  Complex Form Data Entry'!E82)</f>
        <v xml:space="preserve">  </v>
      </c>
      <c r="I37" s="78">
        <f>'2b.  Complex Form Data Entry'!N82</f>
        <v>0</v>
      </c>
      <c r="J37" s="78">
        <f>'2b.  Complex Form Data Entry'!G82</f>
        <v>0</v>
      </c>
      <c r="K37" s="78">
        <f>'2b.  Complex Form Data Entry'!H82</f>
        <v>0</v>
      </c>
      <c r="L37" s="78">
        <f>J37+K37</f>
        <v>0</v>
      </c>
      <c r="M37" s="78">
        <f>'2b.  Complex Form Data Entry'!I82</f>
        <v>0</v>
      </c>
      <c r="N37" s="78">
        <f>'2b.  Complex Form Data Entry'!J82</f>
        <v>0</v>
      </c>
      <c r="O37" s="78">
        <f aca="true" t="shared" si="5" ref="O37:O44">M37+N37</f>
        <v>0</v>
      </c>
      <c r="P37" s="78">
        <f>'2b.  Complex Form Data Entry'!K82</f>
        <v>0</v>
      </c>
      <c r="Q37" s="78">
        <f>'2b.  Complex Form Data Entry'!L82</f>
        <v>0</v>
      </c>
      <c r="R37" s="78">
        <f aca="true" t="shared" si="6" ref="R37:R44">P37+Q37</f>
        <v>0</v>
      </c>
      <c r="S37" s="81">
        <f>'2b.  Complex Form Data Entry'!M82</f>
        <v>0</v>
      </c>
      <c r="T37" s="12"/>
    </row>
    <row r="38" spans="1:20" ht="13.5" customHeight="1" hidden="1">
      <c r="A38" s="16"/>
      <c r="B38" s="49" t="s">
        <v>25</v>
      </c>
      <c r="C38" s="20"/>
      <c r="D38" s="44"/>
      <c r="E38" s="44"/>
      <c r="F38" s="44"/>
      <c r="G38" s="44"/>
      <c r="H38" s="184" t="str">
        <f>IF('2b.  Complex Form Data Entry'!E83="","  ",'2b.  Complex Form Data Entry'!E83)</f>
        <v xml:space="preserve">  </v>
      </c>
      <c r="I38" s="78">
        <f>'2b.  Complex Form Data Entry'!N83</f>
        <v>0</v>
      </c>
      <c r="J38" s="78">
        <f>'2b.  Complex Form Data Entry'!G83</f>
        <v>0</v>
      </c>
      <c r="K38" s="78">
        <f>'2b.  Complex Form Data Entry'!H83</f>
        <v>0</v>
      </c>
      <c r="L38" s="78">
        <f aca="true" t="shared" si="7" ref="L38:L44">J38+K38</f>
        <v>0</v>
      </c>
      <c r="M38" s="78">
        <f>'2b.  Complex Form Data Entry'!I83</f>
        <v>0</v>
      </c>
      <c r="N38" s="78">
        <f>'2b.  Complex Form Data Entry'!J83</f>
        <v>0</v>
      </c>
      <c r="O38" s="78">
        <f t="shared" si="5"/>
        <v>0</v>
      </c>
      <c r="P38" s="78">
        <f>'2b.  Complex Form Data Entry'!K83</f>
        <v>0</v>
      </c>
      <c r="Q38" s="78">
        <f>'2b.  Complex Form Data Entry'!L83</f>
        <v>0</v>
      </c>
      <c r="R38" s="78">
        <f t="shared" si="6"/>
        <v>0</v>
      </c>
      <c r="S38" s="81">
        <f>'2b.  Complex Form Data Entry'!M83</f>
        <v>0</v>
      </c>
      <c r="T38" s="12"/>
    </row>
    <row r="39" spans="1:20" ht="13.5" customHeight="1" hidden="1">
      <c r="A39" s="16"/>
      <c r="B39" s="49" t="s">
        <v>53</v>
      </c>
      <c r="C39" s="20"/>
      <c r="D39" s="44"/>
      <c r="E39" s="44"/>
      <c r="F39" s="44"/>
      <c r="G39" s="44"/>
      <c r="H39" s="184" t="str">
        <f>IF('2b.  Complex Form Data Entry'!E84="","  ",'2b.  Complex Form Data Entry'!E84)</f>
        <v xml:space="preserve">  </v>
      </c>
      <c r="I39" s="78">
        <f>'2b.  Complex Form Data Entry'!N84</f>
        <v>0</v>
      </c>
      <c r="J39" s="78">
        <f>'2b.  Complex Form Data Entry'!G84</f>
        <v>0</v>
      </c>
      <c r="K39" s="78">
        <f>'2b.  Complex Form Data Entry'!H84</f>
        <v>0</v>
      </c>
      <c r="L39" s="78">
        <f t="shared" si="7"/>
        <v>0</v>
      </c>
      <c r="M39" s="78">
        <f>'2b.  Complex Form Data Entry'!I84</f>
        <v>0</v>
      </c>
      <c r="N39" s="78">
        <f>'2b.  Complex Form Data Entry'!J84</f>
        <v>0</v>
      </c>
      <c r="O39" s="78">
        <f t="shared" si="5"/>
        <v>0</v>
      </c>
      <c r="P39" s="78">
        <f>'2b.  Complex Form Data Entry'!K84</f>
        <v>0</v>
      </c>
      <c r="Q39" s="78">
        <f>'2b.  Complex Form Data Entry'!L84</f>
        <v>0</v>
      </c>
      <c r="R39" s="78">
        <f t="shared" si="6"/>
        <v>0</v>
      </c>
      <c r="S39" s="81">
        <f>'2b.  Complex Form Data Entry'!M84</f>
        <v>0</v>
      </c>
      <c r="T39" s="12"/>
    </row>
    <row r="40" spans="1:20" ht="13.5" customHeight="1" hidden="1">
      <c r="A40" s="16"/>
      <c r="B40" s="411" t="s">
        <v>55</v>
      </c>
      <c r="C40" s="412"/>
      <c r="D40" s="44"/>
      <c r="E40" s="44"/>
      <c r="F40" s="44"/>
      <c r="G40" s="44"/>
      <c r="H40" s="184" t="str">
        <f>IF('2b.  Complex Form Data Entry'!E85="","  ",'2b.  Complex Form Data Entry'!E85)</f>
        <v xml:space="preserve">  </v>
      </c>
      <c r="I40" s="78">
        <f>'2b.  Complex Form Data Entry'!N85</f>
        <v>0</v>
      </c>
      <c r="J40" s="78">
        <f>'2b.  Complex Form Data Entry'!G85</f>
        <v>0</v>
      </c>
      <c r="K40" s="78">
        <f>'2b.  Complex Form Data Entry'!H85</f>
        <v>0</v>
      </c>
      <c r="L40" s="78">
        <f t="shared" si="7"/>
        <v>0</v>
      </c>
      <c r="M40" s="78">
        <f>'2b.  Complex Form Data Entry'!I85</f>
        <v>0</v>
      </c>
      <c r="N40" s="78">
        <f>'2b.  Complex Form Data Entry'!J85</f>
        <v>0</v>
      </c>
      <c r="O40" s="78">
        <f t="shared" si="5"/>
        <v>0</v>
      </c>
      <c r="P40" s="78">
        <f>'2b.  Complex Form Data Entry'!K85</f>
        <v>0</v>
      </c>
      <c r="Q40" s="78">
        <f>'2b.  Complex Form Data Entry'!L85</f>
        <v>0</v>
      </c>
      <c r="R40" s="78">
        <f t="shared" si="6"/>
        <v>0</v>
      </c>
      <c r="S40" s="81">
        <f>'2b.  Complex Form Data Entry'!M85</f>
        <v>0</v>
      </c>
      <c r="T40" s="12"/>
    </row>
    <row r="41" spans="1:20" ht="13.5" customHeight="1" hidden="1">
      <c r="A41" s="16"/>
      <c r="B41" s="413" t="s">
        <v>56</v>
      </c>
      <c r="C41" s="414"/>
      <c r="D41" s="44"/>
      <c r="E41" s="44"/>
      <c r="F41" s="44"/>
      <c r="G41" s="44"/>
      <c r="H41" s="184" t="str">
        <f>IF('2b.  Complex Form Data Entry'!E86="","  ",'2b.  Complex Form Data Entry'!E86)</f>
        <v xml:space="preserve">  </v>
      </c>
      <c r="I41" s="78">
        <f>'2b.  Complex Form Data Entry'!N86</f>
        <v>0</v>
      </c>
      <c r="J41" s="78">
        <f>'2b.  Complex Form Data Entry'!G86</f>
        <v>0</v>
      </c>
      <c r="K41" s="78">
        <f>'2b.  Complex Form Data Entry'!H86</f>
        <v>0</v>
      </c>
      <c r="L41" s="78">
        <f t="shared" si="7"/>
        <v>0</v>
      </c>
      <c r="M41" s="78">
        <f>'2b.  Complex Form Data Entry'!I86</f>
        <v>0</v>
      </c>
      <c r="N41" s="78">
        <f>'2b.  Complex Form Data Entry'!J86</f>
        <v>0</v>
      </c>
      <c r="O41" s="78">
        <f t="shared" si="5"/>
        <v>0</v>
      </c>
      <c r="P41" s="78">
        <f>'2b.  Complex Form Data Entry'!K86</f>
        <v>0</v>
      </c>
      <c r="Q41" s="78">
        <f>'2b.  Complex Form Data Entry'!L86</f>
        <v>0</v>
      </c>
      <c r="R41" s="78">
        <f t="shared" si="6"/>
        <v>0</v>
      </c>
      <c r="S41" s="81">
        <f>'2b.  Complex Form Data Entry'!M86</f>
        <v>0</v>
      </c>
      <c r="T41" s="12"/>
    </row>
    <row r="42" spans="1:20" ht="13.5" customHeight="1" hidden="1">
      <c r="A42" s="16"/>
      <c r="B42" s="411" t="s">
        <v>57</v>
      </c>
      <c r="C42" s="412"/>
      <c r="D42" s="44"/>
      <c r="E42" s="44"/>
      <c r="F42" s="44"/>
      <c r="G42" s="44"/>
      <c r="H42" s="184" t="str">
        <f>IF('2b.  Complex Form Data Entry'!E87="","  ",'2b.  Complex Form Data Entry'!E87)</f>
        <v xml:space="preserve">  </v>
      </c>
      <c r="I42" s="78">
        <f>'2b.  Complex Form Data Entry'!N87</f>
        <v>0</v>
      </c>
      <c r="J42" s="78">
        <f>'2b.  Complex Form Data Entry'!G87</f>
        <v>0</v>
      </c>
      <c r="K42" s="78">
        <f>'2b.  Complex Form Data Entry'!H87</f>
        <v>0</v>
      </c>
      <c r="L42" s="78">
        <f t="shared" si="7"/>
        <v>0</v>
      </c>
      <c r="M42" s="78">
        <f>'2b.  Complex Form Data Entry'!I87</f>
        <v>0</v>
      </c>
      <c r="N42" s="78">
        <f>'2b.  Complex Form Data Entry'!J87</f>
        <v>0</v>
      </c>
      <c r="O42" s="78">
        <f t="shared" si="5"/>
        <v>0</v>
      </c>
      <c r="P42" s="78">
        <f>'2b.  Complex Form Data Entry'!K87</f>
        <v>0</v>
      </c>
      <c r="Q42" s="78">
        <f>'2b.  Complex Form Data Entry'!L87</f>
        <v>0</v>
      </c>
      <c r="R42" s="78">
        <f t="shared" si="6"/>
        <v>0</v>
      </c>
      <c r="S42" s="81">
        <f>'2b.  Complex Form Data Entry'!M87</f>
        <v>0</v>
      </c>
      <c r="T42" s="12"/>
    </row>
    <row r="43" spans="1:20" ht="13.5" customHeight="1">
      <c r="A43" s="16"/>
      <c r="B43" s="427" t="s">
        <v>26</v>
      </c>
      <c r="C43" s="428"/>
      <c r="D43" s="44"/>
      <c r="E43" s="44"/>
      <c r="F43" s="44"/>
      <c r="G43" s="44"/>
      <c r="H43" s="184" t="str">
        <f>IF('2b.  Complex Form Data Entry'!E88="","  ",'2b.  Complex Form Data Entry'!E88)</f>
        <v xml:space="preserve">Project planning and negotiation </v>
      </c>
      <c r="I43" s="78">
        <f>'2b.  Complex Form Data Entry'!N88</f>
        <v>3417178</v>
      </c>
      <c r="J43" s="78">
        <f>'2b.  Complex Form Data Entry'!G88</f>
        <v>1600000</v>
      </c>
      <c r="K43" s="78">
        <f>'2b.  Complex Form Data Entry'!H88</f>
        <v>1200000</v>
      </c>
      <c r="L43" s="78">
        <f t="shared" si="7"/>
        <v>2800000</v>
      </c>
      <c r="M43" s="78">
        <f>'2b.  Complex Form Data Entry'!I88</f>
        <v>0</v>
      </c>
      <c r="N43" s="78">
        <f>'2b.  Complex Form Data Entry'!J88</f>
        <v>0</v>
      </c>
      <c r="O43" s="78">
        <f t="shared" si="5"/>
        <v>0</v>
      </c>
      <c r="P43" s="78">
        <f>'2b.  Complex Form Data Entry'!K88</f>
        <v>0</v>
      </c>
      <c r="Q43" s="78">
        <f>'2b.  Complex Form Data Entry'!L88</f>
        <v>0</v>
      </c>
      <c r="R43" s="78">
        <f t="shared" si="6"/>
        <v>0</v>
      </c>
      <c r="S43" s="81">
        <f>'2b.  Complex Form Data Entry'!M88</f>
        <v>0</v>
      </c>
      <c r="T43" s="325"/>
    </row>
    <row r="44" spans="1:21" ht="13.8">
      <c r="A44" s="26"/>
      <c r="B44" s="27"/>
      <c r="C44" s="28" t="s">
        <v>12</v>
      </c>
      <c r="D44" s="29"/>
      <c r="E44" s="29"/>
      <c r="F44" s="29"/>
      <c r="G44" s="29"/>
      <c r="H44" s="185"/>
      <c r="I44" s="61">
        <f aca="true" t="shared" si="8" ref="I44:S44">SUM(I37:I43)</f>
        <v>3417178</v>
      </c>
      <c r="J44" s="61">
        <f t="shared" si="8"/>
        <v>1600000</v>
      </c>
      <c r="K44" s="61">
        <f t="shared" si="8"/>
        <v>1200000</v>
      </c>
      <c r="L44" s="61">
        <f t="shared" si="7"/>
        <v>2800000</v>
      </c>
      <c r="M44" s="61">
        <f t="shared" si="8"/>
        <v>0</v>
      </c>
      <c r="N44" s="61">
        <f t="shared" si="8"/>
        <v>0</v>
      </c>
      <c r="O44" s="61">
        <f t="shared" si="5"/>
        <v>0</v>
      </c>
      <c r="P44" s="61">
        <f aca="true" t="shared" si="9" ref="P44:Q44">SUM(P37:P43)</f>
        <v>0</v>
      </c>
      <c r="Q44" s="61">
        <f t="shared" si="9"/>
        <v>0</v>
      </c>
      <c r="R44" s="61">
        <f t="shared" si="6"/>
        <v>0</v>
      </c>
      <c r="S44" s="62">
        <f t="shared" si="8"/>
        <v>0</v>
      </c>
      <c r="T44" s="325"/>
      <c r="U44" s="342"/>
    </row>
    <row r="45" spans="1:20" ht="3" customHeight="1">
      <c r="A45" s="16"/>
      <c r="B45" s="18"/>
      <c r="C45" s="22"/>
      <c r="D45" s="23"/>
      <c r="E45" s="23"/>
      <c r="F45" s="23"/>
      <c r="G45" s="23"/>
      <c r="H45" s="180"/>
      <c r="I45" s="46"/>
      <c r="J45" s="24"/>
      <c r="K45" s="24"/>
      <c r="L45" s="24"/>
      <c r="M45" s="24"/>
      <c r="N45" s="24"/>
      <c r="O45" s="24"/>
      <c r="P45" s="24"/>
      <c r="Q45" s="24"/>
      <c r="R45" s="284"/>
      <c r="S45" s="25"/>
      <c r="T45" s="12"/>
    </row>
    <row r="46" spans="1:20" ht="13.8">
      <c r="A46" s="415" t="str">
        <f>IF('2b.  Complex Form Data Entry'!E91="","   ",'2b.  Complex Form Data Entry'!E91)</f>
        <v>Metro Transit Capital Fund</v>
      </c>
      <c r="B46" s="416"/>
      <c r="C46" s="417"/>
      <c r="D46" s="162" t="str">
        <f>IF(A46="   ","   ",IF(A46='2b.  Complex Form Data Entry'!$G$21,'2b.  Complex Form Data Entry'!J$21,IF(A46='2b.  Complex Form Data Entry'!$G$22,'2b.  Complex Form Data Entry'!J$22,IF(A46='2b.  Complex Form Data Entry'!$G$23,'2b.  Complex Form Data Entry'!J$23,IF(A46='2b.  Complex Form Data Entry'!$G$24,'2b.  Complex Form Data Entry'!$J$24,IF(A46='2b.  Complex Form Data Entry'!$G$25,'2b.  Complex Form Data Entry'!J$25,IF(A46='2b.  Complex Form Data Entry'!$G$26,'2b.  Complex Form Data Entry'!J$26,"   ")))))))</f>
        <v>C36410</v>
      </c>
      <c r="E46" s="87" t="str">
        <f>IF(A46="   ","   ",IF(A46='2b.  Complex Form Data Entry'!$G$21,'2b.  Complex Form Data Entry'!K$21,IF(A46='2b.  Complex Form Data Entry'!$G$22,'2b.  Complex Form Data Entry'!K$22,IF(A46='2b.  Complex Form Data Entry'!$G$23,'2b.  Complex Form Data Entry'!K$23,IF(A46='2b.  Complex Form Data Entry'!$G$24,'2b.  Complex Form Data Entry'!$K$24,IF(A46='2b.  Complex Form Data Entry'!G$25,'2b.  Complex Form Data Entry'!K$25,IF(A46='2b.  Complex Form Data Entry'!G$26,'2b.  Complex Form Data Entry'!K$26,"   ")))))))</f>
        <v>DOT</v>
      </c>
      <c r="F46" s="162">
        <f>IF(A46="   ","   ",IF(A46='2b.  Complex Form Data Entry'!$G$21,'2b.  Complex Form Data Entry'!L$21,IF(A46='2b.  Complex Form Data Entry'!$G$22,'2b.  Complex Form Data Entry'!L$22,IF(A46='2b.  Complex Form Data Entry'!$G$23,'2b.  Complex Form Data Entry'!L$23,IF(A46='2b.  Complex Form Data Entry'!$G$24,'2b.  Complex Form Data Entry'!$L$24,IF(A46='2b.  Complex Form Data Entry'!G$25,'2b.  Complex Form Data Entry'!L$25,IF(A46='2b.  Complex Form Data Entry'!G$26,'2b.  Complex Form Data Entry'!L$26,"   ")))))))</f>
        <v>3641</v>
      </c>
      <c r="G46" s="77" t="str">
        <f>IF('2b.  Complex Form Data Entry'!I91="","   ",'2b.  Complex Form Data Entry'!I91)</f>
        <v>1128646</v>
      </c>
      <c r="H46" s="182"/>
      <c r="I46" s="47"/>
      <c r="J46" s="38"/>
      <c r="K46" s="38"/>
      <c r="L46" s="38"/>
      <c r="M46" s="38"/>
      <c r="N46" s="38"/>
      <c r="O46" s="340"/>
      <c r="P46" s="38"/>
      <c r="Q46" s="38"/>
      <c r="R46" s="285"/>
      <c r="S46" s="39"/>
      <c r="T46" s="12"/>
    </row>
    <row r="47" spans="1:20" ht="13.5" customHeight="1" hidden="1">
      <c r="A47" s="19"/>
      <c r="B47" s="49" t="s">
        <v>21</v>
      </c>
      <c r="C47" s="20"/>
      <c r="D47" s="44"/>
      <c r="E47" s="44"/>
      <c r="F47" s="44"/>
      <c r="G47" s="44"/>
      <c r="H47" s="184" t="str">
        <f>IF('2b.  Complex Form Data Entry'!E93="","  ",'2b.  Complex Form Data Entry'!E93)</f>
        <v xml:space="preserve">  </v>
      </c>
      <c r="I47" s="79">
        <f>'2b.  Complex Form Data Entry'!N93</f>
        <v>0</v>
      </c>
      <c r="J47" s="79">
        <f>'2b.  Complex Form Data Entry'!G93</f>
        <v>0</v>
      </c>
      <c r="K47" s="79">
        <f>'2b.  Complex Form Data Entry'!H93</f>
        <v>0</v>
      </c>
      <c r="L47" s="78">
        <f aca="true" t="shared" si="10" ref="L47:L105">J47+K47</f>
        <v>0</v>
      </c>
      <c r="M47" s="79">
        <f>'2b.  Complex Form Data Entry'!I93</f>
        <v>0</v>
      </c>
      <c r="N47" s="79">
        <f>'2b.  Complex Form Data Entry'!J93</f>
        <v>0</v>
      </c>
      <c r="O47" s="78">
        <f aca="true" t="shared" si="11" ref="O47:O105">M47+N47</f>
        <v>0</v>
      </c>
      <c r="P47" s="79">
        <f>'2b.  Complex Form Data Entry'!K93</f>
        <v>0</v>
      </c>
      <c r="Q47" s="79">
        <f>'2b.  Complex Form Data Entry'!L93</f>
        <v>0</v>
      </c>
      <c r="R47" s="78">
        <f aca="true" t="shared" si="12" ref="R47:R105">P47+Q47</f>
        <v>0</v>
      </c>
      <c r="S47" s="81">
        <f>'2b.  Complex Form Data Entry'!M93</f>
        <v>0</v>
      </c>
      <c r="T47" s="12"/>
    </row>
    <row r="48" spans="1:20" ht="13.5" customHeight="1" hidden="1">
      <c r="A48" s="19"/>
      <c r="B48" s="49" t="s">
        <v>25</v>
      </c>
      <c r="C48" s="20"/>
      <c r="D48" s="44"/>
      <c r="E48" s="44"/>
      <c r="F48" s="44"/>
      <c r="G48" s="44"/>
      <c r="H48" s="184" t="str">
        <f>IF('2b.  Complex Form Data Entry'!E94="","  ",'2b.  Complex Form Data Entry'!E94)</f>
        <v xml:space="preserve">  </v>
      </c>
      <c r="I48" s="79">
        <f>'2b.  Complex Form Data Entry'!N94</f>
        <v>0</v>
      </c>
      <c r="J48" s="79">
        <f>'2b.  Complex Form Data Entry'!G94</f>
        <v>0</v>
      </c>
      <c r="K48" s="79">
        <f>'2b.  Complex Form Data Entry'!H94</f>
        <v>0</v>
      </c>
      <c r="L48" s="78">
        <f t="shared" si="10"/>
        <v>0</v>
      </c>
      <c r="M48" s="79">
        <f>'2b.  Complex Form Data Entry'!I94</f>
        <v>0</v>
      </c>
      <c r="N48" s="79">
        <f>'2b.  Complex Form Data Entry'!J94</f>
        <v>0</v>
      </c>
      <c r="O48" s="78">
        <f t="shared" si="11"/>
        <v>0</v>
      </c>
      <c r="P48" s="79">
        <f>'2b.  Complex Form Data Entry'!K94</f>
        <v>0</v>
      </c>
      <c r="Q48" s="79">
        <f>'2b.  Complex Form Data Entry'!L94</f>
        <v>0</v>
      </c>
      <c r="R48" s="78">
        <f t="shared" si="12"/>
        <v>0</v>
      </c>
      <c r="S48" s="81">
        <f>'2b.  Complex Form Data Entry'!M94</f>
        <v>0</v>
      </c>
      <c r="T48" s="12"/>
    </row>
    <row r="49" spans="1:20" ht="13.5" customHeight="1" hidden="1">
      <c r="A49" s="19"/>
      <c r="B49" s="49" t="s">
        <v>53</v>
      </c>
      <c r="C49" s="20"/>
      <c r="D49" s="44"/>
      <c r="E49" s="44"/>
      <c r="F49" s="44"/>
      <c r="G49" s="44"/>
      <c r="H49" s="184" t="str">
        <f>IF('2b.  Complex Form Data Entry'!E95="","  ",'2b.  Complex Form Data Entry'!E95)</f>
        <v xml:space="preserve">  </v>
      </c>
      <c r="I49" s="79">
        <f>'2b.  Complex Form Data Entry'!N95</f>
        <v>0</v>
      </c>
      <c r="J49" s="79">
        <f>'2b.  Complex Form Data Entry'!G95</f>
        <v>0</v>
      </c>
      <c r="K49" s="79">
        <f>'2b.  Complex Form Data Entry'!H95</f>
        <v>0</v>
      </c>
      <c r="L49" s="78">
        <f t="shared" si="10"/>
        <v>0</v>
      </c>
      <c r="M49" s="79">
        <f>'2b.  Complex Form Data Entry'!I95</f>
        <v>0</v>
      </c>
      <c r="N49" s="79">
        <f>'2b.  Complex Form Data Entry'!J95</f>
        <v>0</v>
      </c>
      <c r="O49" s="78">
        <f t="shared" si="11"/>
        <v>0</v>
      </c>
      <c r="P49" s="79">
        <f>'2b.  Complex Form Data Entry'!K95</f>
        <v>0</v>
      </c>
      <c r="Q49" s="79">
        <f>'2b.  Complex Form Data Entry'!L95</f>
        <v>0</v>
      </c>
      <c r="R49" s="78">
        <f t="shared" si="12"/>
        <v>0</v>
      </c>
      <c r="S49" s="81">
        <f>'2b.  Complex Form Data Entry'!M95</f>
        <v>0</v>
      </c>
      <c r="T49" s="12"/>
    </row>
    <row r="50" spans="1:20" ht="13.5" customHeight="1" hidden="1">
      <c r="A50" s="19"/>
      <c r="B50" s="411" t="s">
        <v>55</v>
      </c>
      <c r="C50" s="412"/>
      <c r="D50" s="44"/>
      <c r="E50" s="44"/>
      <c r="F50" s="44"/>
      <c r="G50" s="44"/>
      <c r="H50" s="184" t="str">
        <f>IF('2b.  Complex Form Data Entry'!E96="","  ",'2b.  Complex Form Data Entry'!E96)</f>
        <v xml:space="preserve">  </v>
      </c>
      <c r="I50" s="79">
        <f>'2b.  Complex Form Data Entry'!N96</f>
        <v>0</v>
      </c>
      <c r="J50" s="79">
        <f>'2b.  Complex Form Data Entry'!G96</f>
        <v>0</v>
      </c>
      <c r="K50" s="79">
        <f>'2b.  Complex Form Data Entry'!H96</f>
        <v>0</v>
      </c>
      <c r="L50" s="78">
        <f t="shared" si="10"/>
        <v>0</v>
      </c>
      <c r="M50" s="79">
        <f>'2b.  Complex Form Data Entry'!I96</f>
        <v>0</v>
      </c>
      <c r="N50" s="79">
        <f>'2b.  Complex Form Data Entry'!J96</f>
        <v>0</v>
      </c>
      <c r="O50" s="78">
        <f t="shared" si="11"/>
        <v>0</v>
      </c>
      <c r="P50" s="79">
        <f>'2b.  Complex Form Data Entry'!K96</f>
        <v>0</v>
      </c>
      <c r="Q50" s="79">
        <f>'2b.  Complex Form Data Entry'!L96</f>
        <v>0</v>
      </c>
      <c r="R50" s="78">
        <f t="shared" si="12"/>
        <v>0</v>
      </c>
      <c r="S50" s="81">
        <f>'2b.  Complex Form Data Entry'!M96</f>
        <v>0</v>
      </c>
      <c r="T50" s="12"/>
    </row>
    <row r="51" spans="1:20" ht="13.5" customHeight="1" hidden="1">
      <c r="A51" s="19"/>
      <c r="B51" s="413" t="s">
        <v>56</v>
      </c>
      <c r="C51" s="414"/>
      <c r="D51" s="44"/>
      <c r="E51" s="44"/>
      <c r="F51" s="44"/>
      <c r="G51" s="44"/>
      <c r="H51" s="184" t="str">
        <f>IF('2b.  Complex Form Data Entry'!E97="","  ",'2b.  Complex Form Data Entry'!E97)</f>
        <v xml:space="preserve">  </v>
      </c>
      <c r="I51" s="79">
        <f>'2b.  Complex Form Data Entry'!N97</f>
        <v>0</v>
      </c>
      <c r="J51" s="79">
        <f>'2b.  Complex Form Data Entry'!G97</f>
        <v>0</v>
      </c>
      <c r="K51" s="79">
        <f>'2b.  Complex Form Data Entry'!H97</f>
        <v>0</v>
      </c>
      <c r="L51" s="78">
        <f t="shared" si="10"/>
        <v>0</v>
      </c>
      <c r="M51" s="79">
        <f>'2b.  Complex Form Data Entry'!I97</f>
        <v>0</v>
      </c>
      <c r="N51" s="79">
        <f>'2b.  Complex Form Data Entry'!J97</f>
        <v>0</v>
      </c>
      <c r="O51" s="78">
        <f t="shared" si="11"/>
        <v>0</v>
      </c>
      <c r="P51" s="79">
        <f>'2b.  Complex Form Data Entry'!K97</f>
        <v>0</v>
      </c>
      <c r="Q51" s="79">
        <f>'2b.  Complex Form Data Entry'!L97</f>
        <v>0</v>
      </c>
      <c r="R51" s="78">
        <f t="shared" si="12"/>
        <v>0</v>
      </c>
      <c r="S51" s="81">
        <f>'2b.  Complex Form Data Entry'!M97</f>
        <v>0</v>
      </c>
      <c r="T51" s="12"/>
    </row>
    <row r="52" spans="1:20" ht="13.5" customHeight="1" hidden="1">
      <c r="A52" s="19"/>
      <c r="B52" s="411" t="s">
        <v>57</v>
      </c>
      <c r="C52" s="412"/>
      <c r="D52" s="44"/>
      <c r="E52" s="44"/>
      <c r="F52" s="44"/>
      <c r="G52" s="44"/>
      <c r="H52" s="184" t="str">
        <f>IF('2b.  Complex Form Data Entry'!E98="","  ",'2b.  Complex Form Data Entry'!E98)</f>
        <v xml:space="preserve">  </v>
      </c>
      <c r="I52" s="79">
        <f>'2b.  Complex Form Data Entry'!N98</f>
        <v>0</v>
      </c>
      <c r="J52" s="79">
        <f>'2b.  Complex Form Data Entry'!G98</f>
        <v>0</v>
      </c>
      <c r="K52" s="79">
        <f>'2b.  Complex Form Data Entry'!H98</f>
        <v>0</v>
      </c>
      <c r="L52" s="78">
        <f t="shared" si="10"/>
        <v>0</v>
      </c>
      <c r="M52" s="79">
        <f>'2b.  Complex Form Data Entry'!I98</f>
        <v>0</v>
      </c>
      <c r="N52" s="79">
        <f>'2b.  Complex Form Data Entry'!J98</f>
        <v>0</v>
      </c>
      <c r="O52" s="78">
        <f t="shared" si="11"/>
        <v>0</v>
      </c>
      <c r="P52" s="79">
        <f>'2b.  Complex Form Data Entry'!K98</f>
        <v>0</v>
      </c>
      <c r="Q52" s="79">
        <f>'2b.  Complex Form Data Entry'!L98</f>
        <v>0</v>
      </c>
      <c r="R52" s="78">
        <f t="shared" si="12"/>
        <v>0</v>
      </c>
      <c r="S52" s="81">
        <f>'2b.  Complex Form Data Entry'!M98</f>
        <v>0</v>
      </c>
      <c r="T52" s="12"/>
    </row>
    <row r="53" spans="1:20" ht="13.5" customHeight="1">
      <c r="A53" s="19"/>
      <c r="B53" s="427" t="s">
        <v>26</v>
      </c>
      <c r="C53" s="428"/>
      <c r="D53" s="44"/>
      <c r="E53" s="44"/>
      <c r="F53" s="44"/>
      <c r="G53" s="44"/>
      <c r="H53" s="184" t="str">
        <f>IF('2b.  Complex Form Data Entry'!E99="","  ",'2b.  Complex Form Data Entry'!E99)</f>
        <v>Relocation of traction power substation</v>
      </c>
      <c r="I53" s="79">
        <f>'2b.  Complex Form Data Entry'!N99</f>
        <v>0</v>
      </c>
      <c r="J53" s="79">
        <f>'2b.  Complex Form Data Entry'!G99</f>
        <v>9700000</v>
      </c>
      <c r="K53" s="79">
        <f>'2b.  Complex Form Data Entry'!H99</f>
        <v>0</v>
      </c>
      <c r="L53" s="78">
        <f t="shared" si="10"/>
        <v>9700000</v>
      </c>
      <c r="M53" s="78">
        <f>'2b.  Complex Form Data Entry'!I99</f>
        <v>0</v>
      </c>
      <c r="N53" s="78">
        <f>'2b.  Complex Form Data Entry'!J99</f>
        <v>0</v>
      </c>
      <c r="O53" s="78">
        <f t="shared" si="11"/>
        <v>0</v>
      </c>
      <c r="P53" s="79">
        <f>'2b.  Complex Form Data Entry'!K99</f>
        <v>0</v>
      </c>
      <c r="Q53" s="79">
        <f>'2b.  Complex Form Data Entry'!L99</f>
        <v>0</v>
      </c>
      <c r="R53" s="78">
        <f t="shared" si="12"/>
        <v>0</v>
      </c>
      <c r="S53" s="81">
        <f>'2b.  Complex Form Data Entry'!M99</f>
        <v>0</v>
      </c>
      <c r="T53" s="12"/>
    </row>
    <row r="54" spans="1:20" ht="13.8">
      <c r="A54" s="26"/>
      <c r="B54" s="27"/>
      <c r="C54" s="28" t="s">
        <v>12</v>
      </c>
      <c r="D54" s="29"/>
      <c r="E54" s="29"/>
      <c r="F54" s="29"/>
      <c r="G54" s="29"/>
      <c r="H54" s="185"/>
      <c r="I54" s="61">
        <f aca="true" t="shared" si="13" ref="I54:S54">SUM(I47:I53)</f>
        <v>0</v>
      </c>
      <c r="J54" s="61">
        <f t="shared" si="13"/>
        <v>9700000</v>
      </c>
      <c r="K54" s="61">
        <f t="shared" si="13"/>
        <v>0</v>
      </c>
      <c r="L54" s="322">
        <f t="shared" si="10"/>
        <v>9700000</v>
      </c>
      <c r="M54" s="319">
        <f t="shared" si="13"/>
        <v>0</v>
      </c>
      <c r="N54" s="319">
        <f t="shared" si="13"/>
        <v>0</v>
      </c>
      <c r="O54" s="322">
        <f t="shared" si="11"/>
        <v>0</v>
      </c>
      <c r="P54" s="61">
        <f aca="true" t="shared" si="14" ref="P54:Q54">SUM(P47:P53)</f>
        <v>0</v>
      </c>
      <c r="Q54" s="61">
        <f t="shared" si="14"/>
        <v>0</v>
      </c>
      <c r="R54" s="61">
        <f t="shared" si="12"/>
        <v>0</v>
      </c>
      <c r="S54" s="62">
        <f t="shared" si="13"/>
        <v>0</v>
      </c>
      <c r="T54" s="325"/>
    </row>
    <row r="55" spans="1:20" ht="3" customHeight="1">
      <c r="A55" s="16"/>
      <c r="B55" s="18"/>
      <c r="C55" s="13"/>
      <c r="D55" s="23"/>
      <c r="E55" s="23"/>
      <c r="F55" s="23"/>
      <c r="G55" s="23"/>
      <c r="H55" s="186"/>
      <c r="I55" s="57"/>
      <c r="J55" s="58"/>
      <c r="K55" s="58"/>
      <c r="L55" s="78">
        <f t="shared" si="10"/>
        <v>0</v>
      </c>
      <c r="M55" s="59"/>
      <c r="N55" s="58"/>
      <c r="O55" s="78">
        <f t="shared" si="11"/>
        <v>0</v>
      </c>
      <c r="P55" s="58"/>
      <c r="Q55" s="58"/>
      <c r="R55" s="78">
        <f t="shared" si="12"/>
        <v>0</v>
      </c>
      <c r="S55" s="60"/>
      <c r="T55" s="12"/>
    </row>
    <row r="56" spans="1:20" ht="16.95" customHeight="1">
      <c r="A56" s="415" t="str">
        <f>IF('2b.  Complex Form Data Entry'!E102="","   ",'2b.  Complex Form Data Entry'!E102)</f>
        <v>Metro Transit Capital Fund</v>
      </c>
      <c r="B56" s="416"/>
      <c r="C56" s="417"/>
      <c r="D56" s="162" t="str">
        <f>IF(A56="   ","   ",IF(A56='2b.  Complex Form Data Entry'!$G$21,'2b.  Complex Form Data Entry'!J$21,IF(A56='2b.  Complex Form Data Entry'!$G$22,'2b.  Complex Form Data Entry'!J$22,IF(A56='2b.  Complex Form Data Entry'!$G$23,'2b.  Complex Form Data Entry'!J$23,IF(A56='2b.  Complex Form Data Entry'!$G$24,'2b.  Complex Form Data Entry'!$J$24,IF(A56='2b.  Complex Form Data Entry'!$G$25,'2b.  Complex Form Data Entry'!J$25,IF(A56='2b.  Complex Form Data Entry'!$G$26,'2b.  Complex Form Data Entry'!J$26,"   ")))))))</f>
        <v>C36410</v>
      </c>
      <c r="E56" s="87" t="str">
        <f>IF(A56="   ","   ",IF(A56='2b.  Complex Form Data Entry'!$G$21,'2b.  Complex Form Data Entry'!K$21,IF(A56='2b.  Complex Form Data Entry'!$G$22,'2b.  Complex Form Data Entry'!K$22,IF(A56='2b.  Complex Form Data Entry'!$G$23,'2b.  Complex Form Data Entry'!K$23,IF(A56='2b.  Complex Form Data Entry'!$G$24,'2b.  Complex Form Data Entry'!$K$24,IF(A56='2b.  Complex Form Data Entry'!G$25,'2b.  Complex Form Data Entry'!K$25,IF(A56='2b.  Complex Form Data Entry'!G$26,'2b.  Complex Form Data Entry'!K$26,"   ")))))))</f>
        <v>DOT</v>
      </c>
      <c r="F56" s="162">
        <f>IF(A56="   ","   ",IF(A56='2b.  Complex Form Data Entry'!$G$21,'2b.  Complex Form Data Entry'!L$21,IF(A56='2b.  Complex Form Data Entry'!$G$22,'2b.  Complex Form Data Entry'!L$22,IF(A56='2b.  Complex Form Data Entry'!$G$23,'2b.  Complex Form Data Entry'!L$23,IF(A56='2b.  Complex Form Data Entry'!$G$24,'2b.  Complex Form Data Entry'!$L$24,IF(A56='2b.  Complex Form Data Entry'!$G$25,'2b.  Complex Form Data Entry'!$L$25,IF(A56='2b.  Complex Form Data Entry'!$G$26,'2b.  Complex Form Data Entry'!$L$26,"   ")))))))</f>
        <v>3641</v>
      </c>
      <c r="G56" s="320" t="str">
        <f>IF('2b.  Complex Form Data Entry'!I102="","   ",'2b.  Complex Form Data Entry'!I102)</f>
        <v>1128656</v>
      </c>
      <c r="H56" s="182"/>
      <c r="I56" s="47"/>
      <c r="J56" s="38"/>
      <c r="K56" s="38"/>
      <c r="L56" s="78">
        <f t="shared" si="10"/>
        <v>0</v>
      </c>
      <c r="M56" s="38"/>
      <c r="N56" s="38"/>
      <c r="O56" s="78">
        <f t="shared" si="11"/>
        <v>0</v>
      </c>
      <c r="P56" s="38"/>
      <c r="Q56" s="38"/>
      <c r="R56" s="78">
        <f t="shared" si="12"/>
        <v>0</v>
      </c>
      <c r="S56" s="39"/>
      <c r="T56" s="12"/>
    </row>
    <row r="57" spans="1:20" ht="13.5" customHeight="1" hidden="1">
      <c r="A57" s="19"/>
      <c r="B57" s="49" t="s">
        <v>21</v>
      </c>
      <c r="C57" s="20"/>
      <c r="D57" s="44"/>
      <c r="E57" s="44"/>
      <c r="F57" s="44"/>
      <c r="G57" s="44"/>
      <c r="H57" s="184" t="str">
        <f>IF('2b.  Complex Form Data Entry'!E104="","  ",'2b.  Complex Form Data Entry'!E104)</f>
        <v xml:space="preserve">  </v>
      </c>
      <c r="I57" s="79">
        <f>'2b.  Complex Form Data Entry'!N104</f>
        <v>0</v>
      </c>
      <c r="J57" s="79">
        <f>'2b.  Complex Form Data Entry'!G104</f>
        <v>0</v>
      </c>
      <c r="K57" s="79">
        <f>'2b.  Complex Form Data Entry'!H104</f>
        <v>0</v>
      </c>
      <c r="L57" s="78">
        <f t="shared" si="10"/>
        <v>0</v>
      </c>
      <c r="M57" s="79">
        <f>'2b.  Complex Form Data Entry'!I104</f>
        <v>0</v>
      </c>
      <c r="N57" s="79">
        <f>'2b.  Complex Form Data Entry'!J104</f>
        <v>0</v>
      </c>
      <c r="O57" s="78">
        <f t="shared" si="11"/>
        <v>0</v>
      </c>
      <c r="P57" s="79">
        <f>'2b.  Complex Form Data Entry'!K104</f>
        <v>0</v>
      </c>
      <c r="Q57" s="79">
        <f>'2b.  Complex Form Data Entry'!L104</f>
        <v>0</v>
      </c>
      <c r="R57" s="78">
        <f t="shared" si="12"/>
        <v>0</v>
      </c>
      <c r="S57" s="81">
        <f>'2b.  Complex Form Data Entry'!M104</f>
        <v>0</v>
      </c>
      <c r="T57" s="12"/>
    </row>
    <row r="58" spans="1:20" ht="13.5" customHeight="1" hidden="1">
      <c r="A58" s="19"/>
      <c r="B58" s="49" t="s">
        <v>25</v>
      </c>
      <c r="C58" s="20"/>
      <c r="D58" s="44"/>
      <c r="E58" s="44"/>
      <c r="F58" s="44"/>
      <c r="G58" s="44"/>
      <c r="H58" s="184" t="str">
        <f>IF('2b.  Complex Form Data Entry'!E105="","  ",'2b.  Complex Form Data Entry'!E105)</f>
        <v xml:space="preserve">  </v>
      </c>
      <c r="I58" s="79">
        <f>'2b.  Complex Form Data Entry'!N105</f>
        <v>0</v>
      </c>
      <c r="J58" s="79">
        <f>'2b.  Complex Form Data Entry'!G105</f>
        <v>0</v>
      </c>
      <c r="K58" s="79">
        <f>'2b.  Complex Form Data Entry'!H105</f>
        <v>0</v>
      </c>
      <c r="L58" s="78">
        <f t="shared" si="10"/>
        <v>0</v>
      </c>
      <c r="M58" s="79">
        <f>'2b.  Complex Form Data Entry'!I105</f>
        <v>0</v>
      </c>
      <c r="N58" s="79">
        <f>'2b.  Complex Form Data Entry'!J105</f>
        <v>0</v>
      </c>
      <c r="O58" s="78">
        <f t="shared" si="11"/>
        <v>0</v>
      </c>
      <c r="P58" s="79">
        <f>'2b.  Complex Form Data Entry'!K105</f>
        <v>0</v>
      </c>
      <c r="Q58" s="79">
        <f>'2b.  Complex Form Data Entry'!L105</f>
        <v>0</v>
      </c>
      <c r="R58" s="78">
        <f t="shared" si="12"/>
        <v>0</v>
      </c>
      <c r="S58" s="81">
        <f>'2b.  Complex Form Data Entry'!M105</f>
        <v>0</v>
      </c>
      <c r="T58" s="12"/>
    </row>
    <row r="59" spans="1:20" ht="13.5" customHeight="1" hidden="1">
      <c r="A59" s="19"/>
      <c r="B59" s="49" t="s">
        <v>53</v>
      </c>
      <c r="C59" s="20"/>
      <c r="D59" s="44"/>
      <c r="E59" s="44"/>
      <c r="F59" s="44"/>
      <c r="G59" s="44"/>
      <c r="H59" s="184" t="str">
        <f>IF('2b.  Complex Form Data Entry'!E106="","  ",'2b.  Complex Form Data Entry'!E106)</f>
        <v xml:space="preserve">  </v>
      </c>
      <c r="I59" s="79">
        <f>'2b.  Complex Form Data Entry'!N106</f>
        <v>0</v>
      </c>
      <c r="J59" s="79">
        <f>'2b.  Complex Form Data Entry'!G106</f>
        <v>0</v>
      </c>
      <c r="K59" s="79">
        <f>'2b.  Complex Form Data Entry'!H106</f>
        <v>0</v>
      </c>
      <c r="L59" s="78">
        <f t="shared" si="10"/>
        <v>0</v>
      </c>
      <c r="M59" s="79">
        <f>'2b.  Complex Form Data Entry'!I106</f>
        <v>0</v>
      </c>
      <c r="N59" s="79">
        <f>'2b.  Complex Form Data Entry'!J106</f>
        <v>0</v>
      </c>
      <c r="O59" s="78">
        <f t="shared" si="11"/>
        <v>0</v>
      </c>
      <c r="P59" s="79">
        <f>'2b.  Complex Form Data Entry'!K106</f>
        <v>0</v>
      </c>
      <c r="Q59" s="79">
        <f>'2b.  Complex Form Data Entry'!L106</f>
        <v>0</v>
      </c>
      <c r="R59" s="78">
        <f t="shared" si="12"/>
        <v>0</v>
      </c>
      <c r="S59" s="81">
        <f>'2b.  Complex Form Data Entry'!M106</f>
        <v>0</v>
      </c>
      <c r="T59" s="12"/>
    </row>
    <row r="60" spans="1:20" ht="13.5" customHeight="1" hidden="1">
      <c r="A60" s="19"/>
      <c r="B60" s="411" t="s">
        <v>55</v>
      </c>
      <c r="C60" s="412"/>
      <c r="D60" s="44"/>
      <c r="E60" s="44"/>
      <c r="F60" s="44"/>
      <c r="G60" s="44"/>
      <c r="H60" s="184" t="str">
        <f>IF('2b.  Complex Form Data Entry'!E107="","  ",'2b.  Complex Form Data Entry'!E107)</f>
        <v xml:space="preserve">  </v>
      </c>
      <c r="I60" s="79">
        <f>'2b.  Complex Form Data Entry'!N107</f>
        <v>0</v>
      </c>
      <c r="J60" s="79">
        <f>'2b.  Complex Form Data Entry'!G107</f>
        <v>0</v>
      </c>
      <c r="K60" s="79">
        <f>'2b.  Complex Form Data Entry'!H107</f>
        <v>0</v>
      </c>
      <c r="L60" s="78">
        <f t="shared" si="10"/>
        <v>0</v>
      </c>
      <c r="M60" s="79">
        <f>'2b.  Complex Form Data Entry'!I107</f>
        <v>0</v>
      </c>
      <c r="N60" s="79">
        <f>'2b.  Complex Form Data Entry'!J107</f>
        <v>0</v>
      </c>
      <c r="O60" s="78">
        <f t="shared" si="11"/>
        <v>0</v>
      </c>
      <c r="P60" s="79">
        <f>'2b.  Complex Form Data Entry'!K107</f>
        <v>0</v>
      </c>
      <c r="Q60" s="79">
        <f>'2b.  Complex Form Data Entry'!L107</f>
        <v>0</v>
      </c>
      <c r="R60" s="78">
        <f t="shared" si="12"/>
        <v>0</v>
      </c>
      <c r="S60" s="81">
        <f>'2b.  Complex Form Data Entry'!M107</f>
        <v>0</v>
      </c>
      <c r="T60" s="12"/>
    </row>
    <row r="61" spans="1:20" ht="13.5" customHeight="1" hidden="1">
      <c r="A61" s="19"/>
      <c r="B61" s="413" t="s">
        <v>56</v>
      </c>
      <c r="C61" s="414"/>
      <c r="D61" s="44"/>
      <c r="E61" s="44"/>
      <c r="F61" s="44"/>
      <c r="G61" s="44"/>
      <c r="H61" s="184" t="str">
        <f>IF('2b.  Complex Form Data Entry'!E108="","  ",'2b.  Complex Form Data Entry'!E108)</f>
        <v xml:space="preserve">  </v>
      </c>
      <c r="I61" s="79">
        <f>'2b.  Complex Form Data Entry'!N108</f>
        <v>0</v>
      </c>
      <c r="J61" s="79">
        <f>'2b.  Complex Form Data Entry'!G108</f>
        <v>0</v>
      </c>
      <c r="K61" s="79">
        <f>'2b.  Complex Form Data Entry'!H108</f>
        <v>0</v>
      </c>
      <c r="L61" s="78">
        <f t="shared" si="10"/>
        <v>0</v>
      </c>
      <c r="M61" s="79">
        <f>'2b.  Complex Form Data Entry'!I108</f>
        <v>0</v>
      </c>
      <c r="N61" s="79">
        <f>'2b.  Complex Form Data Entry'!J108</f>
        <v>0</v>
      </c>
      <c r="O61" s="78">
        <f t="shared" si="11"/>
        <v>0</v>
      </c>
      <c r="P61" s="79">
        <f>'2b.  Complex Form Data Entry'!K108</f>
        <v>0</v>
      </c>
      <c r="Q61" s="79">
        <f>'2b.  Complex Form Data Entry'!L108</f>
        <v>0</v>
      </c>
      <c r="R61" s="78">
        <f t="shared" si="12"/>
        <v>0</v>
      </c>
      <c r="S61" s="81">
        <f>'2b.  Complex Form Data Entry'!M108</f>
        <v>0</v>
      </c>
      <c r="T61" s="12"/>
    </row>
    <row r="62" spans="1:20" ht="13.5" customHeight="1" hidden="1">
      <c r="A62" s="19"/>
      <c r="B62" s="411" t="s">
        <v>57</v>
      </c>
      <c r="C62" s="412"/>
      <c r="D62" s="44"/>
      <c r="E62" s="44"/>
      <c r="F62" s="44"/>
      <c r="G62" s="44"/>
      <c r="H62" s="184" t="str">
        <f>IF('2b.  Complex Form Data Entry'!E109="","  ",'2b.  Complex Form Data Entry'!E109)</f>
        <v xml:space="preserve">  </v>
      </c>
      <c r="I62" s="79">
        <f>'2b.  Complex Form Data Entry'!N109</f>
        <v>0</v>
      </c>
      <c r="J62" s="79">
        <f>'2b.  Complex Form Data Entry'!G109</f>
        <v>0</v>
      </c>
      <c r="K62" s="79">
        <f>'2b.  Complex Form Data Entry'!H109</f>
        <v>0</v>
      </c>
      <c r="L62" s="78">
        <f t="shared" si="10"/>
        <v>0</v>
      </c>
      <c r="M62" s="79">
        <f>'2b.  Complex Form Data Entry'!I109</f>
        <v>0</v>
      </c>
      <c r="N62" s="79">
        <f>'2b.  Complex Form Data Entry'!J109</f>
        <v>0</v>
      </c>
      <c r="O62" s="78">
        <f t="shared" si="11"/>
        <v>0</v>
      </c>
      <c r="P62" s="79">
        <f>'2b.  Complex Form Data Entry'!K109</f>
        <v>0</v>
      </c>
      <c r="Q62" s="79">
        <f>'2b.  Complex Form Data Entry'!L109</f>
        <v>0</v>
      </c>
      <c r="R62" s="78">
        <f t="shared" si="12"/>
        <v>0</v>
      </c>
      <c r="S62" s="81">
        <f>'2b.  Complex Form Data Entry'!M109</f>
        <v>0</v>
      </c>
      <c r="T62" s="12"/>
    </row>
    <row r="63" spans="1:20" ht="13.5" customHeight="1">
      <c r="A63" s="19"/>
      <c r="B63" s="427" t="s">
        <v>26</v>
      </c>
      <c r="C63" s="428"/>
      <c r="D63" s="44"/>
      <c r="E63" s="44"/>
      <c r="F63" s="44"/>
      <c r="G63" s="44"/>
      <c r="H63" s="184" t="str">
        <f>IF('2b.  Complex Form Data Entry'!E110="","  ",'2b.  Complex Form Data Entry'!E110)</f>
        <v>Relocation of Sound Transit and Metro equipment from Downtown Seattle Transit Tunnel (DSTT)</v>
      </c>
      <c r="I63" s="79">
        <f>'2b.  Complex Form Data Entry'!N110</f>
        <v>0</v>
      </c>
      <c r="J63" s="79">
        <f>'2b.  Complex Form Data Entry'!G110</f>
        <v>3500000</v>
      </c>
      <c r="K63" s="79">
        <f>'2b.  Complex Form Data Entry'!H110</f>
        <v>3200000</v>
      </c>
      <c r="L63" s="78">
        <f t="shared" si="10"/>
        <v>6700000</v>
      </c>
      <c r="M63" s="78">
        <f>'2b.  Complex Form Data Entry'!I110</f>
        <v>0</v>
      </c>
      <c r="N63" s="318">
        <f>'2b.  Complex Form Data Entry'!J110</f>
        <v>0</v>
      </c>
      <c r="O63" s="78">
        <f t="shared" si="11"/>
        <v>0</v>
      </c>
      <c r="P63" s="79">
        <f>'2b.  Complex Form Data Entry'!K110</f>
        <v>0</v>
      </c>
      <c r="Q63" s="79">
        <f>'2b.  Complex Form Data Entry'!L110</f>
        <v>0</v>
      </c>
      <c r="R63" s="78">
        <f t="shared" si="12"/>
        <v>0</v>
      </c>
      <c r="S63" s="81">
        <f>'2b.  Complex Form Data Entry'!M110</f>
        <v>0</v>
      </c>
      <c r="T63" s="325"/>
    </row>
    <row r="64" spans="1:20" ht="13.8">
      <c r="A64" s="26"/>
      <c r="B64" s="27"/>
      <c r="C64" s="28" t="s">
        <v>12</v>
      </c>
      <c r="D64" s="29"/>
      <c r="E64" s="29"/>
      <c r="F64" s="29"/>
      <c r="G64" s="29"/>
      <c r="H64" s="185"/>
      <c r="I64" s="61">
        <f aca="true" t="shared" si="15" ref="I64:S64">SUM(I57:I63)</f>
        <v>0</v>
      </c>
      <c r="J64" s="61">
        <f t="shared" si="15"/>
        <v>3500000</v>
      </c>
      <c r="K64" s="61">
        <f t="shared" si="15"/>
        <v>3200000</v>
      </c>
      <c r="L64" s="323">
        <f t="shared" si="10"/>
        <v>6700000</v>
      </c>
      <c r="M64" s="319">
        <f t="shared" si="15"/>
        <v>0</v>
      </c>
      <c r="N64" s="319">
        <f t="shared" si="15"/>
        <v>0</v>
      </c>
      <c r="O64" s="322">
        <f t="shared" si="11"/>
        <v>0</v>
      </c>
      <c r="P64" s="61">
        <f aca="true" t="shared" si="16" ref="P64:Q64">SUM(P57:P63)</f>
        <v>0</v>
      </c>
      <c r="Q64" s="61">
        <f t="shared" si="16"/>
        <v>0</v>
      </c>
      <c r="R64" s="61">
        <f t="shared" si="12"/>
        <v>0</v>
      </c>
      <c r="S64" s="62">
        <f t="shared" si="15"/>
        <v>0</v>
      </c>
      <c r="T64" s="325"/>
    </row>
    <row r="65" spans="1:20" ht="3" customHeight="1" hidden="1">
      <c r="A65" s="55"/>
      <c r="B65" s="56"/>
      <c r="C65" s="2"/>
      <c r="D65" s="23"/>
      <c r="E65" s="23"/>
      <c r="F65" s="23"/>
      <c r="G65" s="23"/>
      <c r="H65" s="186"/>
      <c r="I65" s="57"/>
      <c r="J65" s="58"/>
      <c r="K65" s="58"/>
      <c r="L65" s="78">
        <f t="shared" si="10"/>
        <v>0</v>
      </c>
      <c r="M65" s="59"/>
      <c r="N65" s="58"/>
      <c r="O65" s="78">
        <f t="shared" si="11"/>
        <v>0</v>
      </c>
      <c r="P65" s="58"/>
      <c r="Q65" s="58"/>
      <c r="R65" s="78">
        <f t="shared" si="12"/>
        <v>0</v>
      </c>
      <c r="S65" s="60"/>
      <c r="T65" s="12"/>
    </row>
    <row r="66" spans="1:20" ht="14.7" customHeight="1" hidden="1">
      <c r="A66" s="415" t="str">
        <f>IF('2b.  Complex Form Data Entry'!E113="","   ",'2b.  Complex Form Data Entry'!E113)</f>
        <v>Metro Transit Capital Fund</v>
      </c>
      <c r="B66" s="416"/>
      <c r="C66" s="417"/>
      <c r="D66" s="162" t="str">
        <f>IF(A66="   ","   ",IF(A66='2b.  Complex Form Data Entry'!$G$21,'2b.  Complex Form Data Entry'!J$21,IF(A66='2b.  Complex Form Data Entry'!$G$22,'2b.  Complex Form Data Entry'!J$22,IF(A66='2b.  Complex Form Data Entry'!$G$23,'2b.  Complex Form Data Entry'!J$23,IF(A66='2b.  Complex Form Data Entry'!$G$24,'2b.  Complex Form Data Entry'!$J$24,IF(A66='2b.  Complex Form Data Entry'!$G$25,'2b.  Complex Form Data Entry'!J$25,IF(A66='2b.  Complex Form Data Entry'!$G$26,'2b.  Complex Form Data Entry'!J$26,"   ")))))))</f>
        <v>C36410</v>
      </c>
      <c r="E66" s="87" t="str">
        <f>IF(A66="   ","   ",IF(A66='2b.  Complex Form Data Entry'!$G$21,'2b.  Complex Form Data Entry'!K$21,IF(A66='2b.  Complex Form Data Entry'!$G$22,'2b.  Complex Form Data Entry'!K$22,IF(A66='2b.  Complex Form Data Entry'!$G$23,'2b.  Complex Form Data Entry'!K$23,IF(A66='2b.  Complex Form Data Entry'!$G$24,'2b.  Complex Form Data Entry'!$K$24,IF(A66='2b.  Complex Form Data Entry'!G$25,'2b.  Complex Form Data Entry'!K$25,IF(A66='2b.  Complex Form Data Entry'!G$26,'2b.  Complex Form Data Entry'!K$26,"   ")))))))</f>
        <v>DOT</v>
      </c>
      <c r="F66" s="162">
        <f>IF(A66="   ","   ",IF(A66='2b.  Complex Form Data Entry'!$G$21,'2b.  Complex Form Data Entry'!L$21,IF(A66='2b.  Complex Form Data Entry'!$G$22,'2b.  Complex Form Data Entry'!L$22,IF(A66='2b.  Complex Form Data Entry'!$G$23,'2b.  Complex Form Data Entry'!L$23,IF(A66='2b.  Complex Form Data Entry'!$G$24,'2b.  Complex Form Data Entry'!$L$24,IF(A66='2b.  Complex Form Data Entry'!$G$25,'2b.  Complex Form Data Entry'!$L$25,IF(A66='2b.  Complex Form Data Entry'!$G$26,'2b.  Complex Form Data Entry'!$L$26,"   ")))))))</f>
        <v>3641</v>
      </c>
      <c r="G66" s="320">
        <f>IF('2b.  Complex Form Data Entry'!I113="","   ",'2b.  Complex Form Data Entry'!I113)</f>
        <v>1127199</v>
      </c>
      <c r="H66" s="182"/>
      <c r="I66" s="47"/>
      <c r="J66" s="38"/>
      <c r="K66" s="38"/>
      <c r="L66" s="78">
        <f t="shared" si="10"/>
        <v>0</v>
      </c>
      <c r="M66" s="38"/>
      <c r="N66" s="38"/>
      <c r="O66" s="78">
        <f t="shared" si="11"/>
        <v>0</v>
      </c>
      <c r="P66" s="38"/>
      <c r="Q66" s="38"/>
      <c r="R66" s="78">
        <f t="shared" si="12"/>
        <v>0</v>
      </c>
      <c r="S66" s="39"/>
      <c r="T66" s="12"/>
    </row>
    <row r="67" spans="1:20" ht="13.5" customHeight="1" hidden="1">
      <c r="A67" s="19"/>
      <c r="B67" s="49" t="s">
        <v>21</v>
      </c>
      <c r="C67" s="20"/>
      <c r="D67" s="44"/>
      <c r="E67" s="44"/>
      <c r="F67" s="44"/>
      <c r="G67" s="44"/>
      <c r="H67" s="184" t="str">
        <f>IF('2b.  Complex Form Data Entry'!E115="","  ",'2b.  Complex Form Data Entry'!E115)</f>
        <v xml:space="preserve">  </v>
      </c>
      <c r="I67" s="79">
        <f>'2b.  Complex Form Data Entry'!N115</f>
        <v>0</v>
      </c>
      <c r="J67" s="79">
        <f>'2b.  Complex Form Data Entry'!G115</f>
        <v>0</v>
      </c>
      <c r="K67" s="79">
        <f>'2b.  Complex Form Data Entry'!H115</f>
        <v>0</v>
      </c>
      <c r="L67" s="78">
        <f t="shared" si="10"/>
        <v>0</v>
      </c>
      <c r="M67" s="79">
        <f>'2b.  Complex Form Data Entry'!I115</f>
        <v>0</v>
      </c>
      <c r="N67" s="79">
        <f>'2b.  Complex Form Data Entry'!J115</f>
        <v>0</v>
      </c>
      <c r="O67" s="78">
        <f t="shared" si="11"/>
        <v>0</v>
      </c>
      <c r="P67" s="79">
        <f>'2b.  Complex Form Data Entry'!K115</f>
        <v>0</v>
      </c>
      <c r="Q67" s="79">
        <f>'2b.  Complex Form Data Entry'!L115</f>
        <v>0</v>
      </c>
      <c r="R67" s="78">
        <f t="shared" si="12"/>
        <v>0</v>
      </c>
      <c r="S67" s="81">
        <f>'2b.  Complex Form Data Entry'!M115</f>
        <v>0</v>
      </c>
      <c r="T67" s="12"/>
    </row>
    <row r="68" spans="1:20" ht="13.5" customHeight="1" hidden="1">
      <c r="A68" s="19"/>
      <c r="B68" s="49" t="s">
        <v>25</v>
      </c>
      <c r="C68" s="20"/>
      <c r="D68" s="44"/>
      <c r="E68" s="44"/>
      <c r="F68" s="44"/>
      <c r="G68" s="44"/>
      <c r="H68" s="184" t="str">
        <f>IF('2b.  Complex Form Data Entry'!E116="","  ",'2b.  Complex Form Data Entry'!E116)</f>
        <v xml:space="preserve">  </v>
      </c>
      <c r="I68" s="79">
        <f>'2b.  Complex Form Data Entry'!N116</f>
        <v>0</v>
      </c>
      <c r="J68" s="79">
        <f>'2b.  Complex Form Data Entry'!G116</f>
        <v>0</v>
      </c>
      <c r="K68" s="79">
        <f>'2b.  Complex Form Data Entry'!H116</f>
        <v>0</v>
      </c>
      <c r="L68" s="78">
        <f t="shared" si="10"/>
        <v>0</v>
      </c>
      <c r="M68" s="79">
        <f>'2b.  Complex Form Data Entry'!I116</f>
        <v>0</v>
      </c>
      <c r="N68" s="79">
        <f>'2b.  Complex Form Data Entry'!J116</f>
        <v>0</v>
      </c>
      <c r="O68" s="78">
        <f t="shared" si="11"/>
        <v>0</v>
      </c>
      <c r="P68" s="79">
        <f>'2b.  Complex Form Data Entry'!K116</f>
        <v>0</v>
      </c>
      <c r="Q68" s="79">
        <f>'2b.  Complex Form Data Entry'!L116</f>
        <v>0</v>
      </c>
      <c r="R68" s="78">
        <f t="shared" si="12"/>
        <v>0</v>
      </c>
      <c r="S68" s="81">
        <f>'2b.  Complex Form Data Entry'!M116</f>
        <v>0</v>
      </c>
      <c r="T68" s="12"/>
    </row>
    <row r="69" spans="1:20" ht="13.5" customHeight="1" hidden="1">
      <c r="A69" s="19"/>
      <c r="B69" s="49" t="s">
        <v>53</v>
      </c>
      <c r="C69" s="20"/>
      <c r="D69" s="44"/>
      <c r="E69" s="44"/>
      <c r="F69" s="44"/>
      <c r="G69" s="44"/>
      <c r="H69" s="184" t="str">
        <f>IF('2b.  Complex Form Data Entry'!E117="","  ",'2b.  Complex Form Data Entry'!E117)</f>
        <v xml:space="preserve">  </v>
      </c>
      <c r="I69" s="79">
        <f>'2b.  Complex Form Data Entry'!N117</f>
        <v>0</v>
      </c>
      <c r="J69" s="79">
        <f>'2b.  Complex Form Data Entry'!G117</f>
        <v>0</v>
      </c>
      <c r="K69" s="79">
        <f>'2b.  Complex Form Data Entry'!H117</f>
        <v>0</v>
      </c>
      <c r="L69" s="78">
        <f t="shared" si="10"/>
        <v>0</v>
      </c>
      <c r="M69" s="79">
        <f>'2b.  Complex Form Data Entry'!I117</f>
        <v>0</v>
      </c>
      <c r="N69" s="79">
        <f>'2b.  Complex Form Data Entry'!J117</f>
        <v>0</v>
      </c>
      <c r="O69" s="78">
        <f t="shared" si="11"/>
        <v>0</v>
      </c>
      <c r="P69" s="79">
        <f>'2b.  Complex Form Data Entry'!K117</f>
        <v>0</v>
      </c>
      <c r="Q69" s="79">
        <f>'2b.  Complex Form Data Entry'!L117</f>
        <v>0</v>
      </c>
      <c r="R69" s="78">
        <f t="shared" si="12"/>
        <v>0</v>
      </c>
      <c r="S69" s="81">
        <f>'2b.  Complex Form Data Entry'!M117</f>
        <v>0</v>
      </c>
      <c r="T69" s="12"/>
    </row>
    <row r="70" spans="1:20" ht="13.5" customHeight="1" hidden="1">
      <c r="A70" s="19"/>
      <c r="B70" s="411" t="s">
        <v>55</v>
      </c>
      <c r="C70" s="412"/>
      <c r="D70" s="44"/>
      <c r="E70" s="44"/>
      <c r="F70" s="44"/>
      <c r="G70" s="44"/>
      <c r="H70" s="184" t="str">
        <f>IF('2b.  Complex Form Data Entry'!E118="","  ",'2b.  Complex Form Data Entry'!E118)</f>
        <v xml:space="preserve">  </v>
      </c>
      <c r="I70" s="79">
        <f>'2b.  Complex Form Data Entry'!N118</f>
        <v>0</v>
      </c>
      <c r="J70" s="79">
        <f>'2b.  Complex Form Data Entry'!G118</f>
        <v>0</v>
      </c>
      <c r="K70" s="79">
        <f>'2b.  Complex Form Data Entry'!H118</f>
        <v>0</v>
      </c>
      <c r="L70" s="78">
        <f t="shared" si="10"/>
        <v>0</v>
      </c>
      <c r="M70" s="79">
        <f>'2b.  Complex Form Data Entry'!I118</f>
        <v>0</v>
      </c>
      <c r="N70" s="79">
        <f>'2b.  Complex Form Data Entry'!J118</f>
        <v>0</v>
      </c>
      <c r="O70" s="78">
        <f t="shared" si="11"/>
        <v>0</v>
      </c>
      <c r="P70" s="79">
        <f>'2b.  Complex Form Data Entry'!K118</f>
        <v>0</v>
      </c>
      <c r="Q70" s="79">
        <f>'2b.  Complex Form Data Entry'!L118</f>
        <v>0</v>
      </c>
      <c r="R70" s="78">
        <f t="shared" si="12"/>
        <v>0</v>
      </c>
      <c r="S70" s="81">
        <f>'2b.  Complex Form Data Entry'!M118</f>
        <v>0</v>
      </c>
      <c r="T70" s="12"/>
    </row>
    <row r="71" spans="1:20" ht="13.5" customHeight="1" hidden="1">
      <c r="A71" s="19"/>
      <c r="B71" s="413" t="s">
        <v>56</v>
      </c>
      <c r="C71" s="414"/>
      <c r="D71" s="44"/>
      <c r="E71" s="44"/>
      <c r="F71" s="44"/>
      <c r="G71" s="44"/>
      <c r="H71" s="184" t="str">
        <f>IF('2b.  Complex Form Data Entry'!E119="","  ",'2b.  Complex Form Data Entry'!E119)</f>
        <v xml:space="preserve">  </v>
      </c>
      <c r="I71" s="79">
        <f>'2b.  Complex Form Data Entry'!N119</f>
        <v>0</v>
      </c>
      <c r="J71" s="79">
        <f>'2b.  Complex Form Data Entry'!G119</f>
        <v>0</v>
      </c>
      <c r="K71" s="79">
        <f>'2b.  Complex Form Data Entry'!H119</f>
        <v>0</v>
      </c>
      <c r="L71" s="78">
        <f t="shared" si="10"/>
        <v>0</v>
      </c>
      <c r="M71" s="79">
        <f>'2b.  Complex Form Data Entry'!I119</f>
        <v>0</v>
      </c>
      <c r="N71" s="79">
        <f>'2b.  Complex Form Data Entry'!J119</f>
        <v>0</v>
      </c>
      <c r="O71" s="78">
        <f t="shared" si="11"/>
        <v>0</v>
      </c>
      <c r="P71" s="79">
        <f>'2b.  Complex Form Data Entry'!K119</f>
        <v>0</v>
      </c>
      <c r="Q71" s="79">
        <f>'2b.  Complex Form Data Entry'!L119</f>
        <v>0</v>
      </c>
      <c r="R71" s="78">
        <f t="shared" si="12"/>
        <v>0</v>
      </c>
      <c r="S71" s="81">
        <f>'2b.  Complex Form Data Entry'!M119</f>
        <v>0</v>
      </c>
      <c r="T71" s="12"/>
    </row>
    <row r="72" spans="1:20" ht="13.5" customHeight="1" hidden="1">
      <c r="A72" s="19"/>
      <c r="B72" s="411" t="s">
        <v>57</v>
      </c>
      <c r="C72" s="412"/>
      <c r="D72" s="44"/>
      <c r="E72" s="44"/>
      <c r="F72" s="44"/>
      <c r="G72" s="44"/>
      <c r="H72" s="184" t="str">
        <f>IF('2b.  Complex Form Data Entry'!E120="","  ",'2b.  Complex Form Data Entry'!E120)</f>
        <v xml:space="preserve">  </v>
      </c>
      <c r="I72" s="79">
        <f>'2b.  Complex Form Data Entry'!N120</f>
        <v>0</v>
      </c>
      <c r="J72" s="79">
        <f>'2b.  Complex Form Data Entry'!G120</f>
        <v>0</v>
      </c>
      <c r="K72" s="79">
        <f>'2b.  Complex Form Data Entry'!H120</f>
        <v>0</v>
      </c>
      <c r="L72" s="78">
        <f t="shared" si="10"/>
        <v>0</v>
      </c>
      <c r="M72" s="79">
        <f>'2b.  Complex Form Data Entry'!I120</f>
        <v>0</v>
      </c>
      <c r="N72" s="79">
        <f>'2b.  Complex Form Data Entry'!J120</f>
        <v>0</v>
      </c>
      <c r="O72" s="78">
        <f t="shared" si="11"/>
        <v>0</v>
      </c>
      <c r="P72" s="79">
        <f>'2b.  Complex Form Data Entry'!K120</f>
        <v>0</v>
      </c>
      <c r="Q72" s="79">
        <f>'2b.  Complex Form Data Entry'!L120</f>
        <v>0</v>
      </c>
      <c r="R72" s="78">
        <f t="shared" si="12"/>
        <v>0</v>
      </c>
      <c r="S72" s="81">
        <f>'2b.  Complex Form Data Entry'!M120</f>
        <v>0</v>
      </c>
      <c r="T72" s="12"/>
    </row>
    <row r="73" spans="1:20" ht="13.5" customHeight="1" hidden="1">
      <c r="A73" s="19"/>
      <c r="B73" s="427" t="s">
        <v>26</v>
      </c>
      <c r="C73" s="428"/>
      <c r="D73" s="44"/>
      <c r="E73" s="44"/>
      <c r="F73" s="44"/>
      <c r="G73" s="44"/>
      <c r="H73" s="343" t="str">
        <f>IF('2b.  Complex Form Data Entry'!E121="","  ",'2b.  Complex Form Data Entry'!E121)</f>
        <v xml:space="preserve">  </v>
      </c>
      <c r="I73" s="79">
        <f>'2b.  Complex Form Data Entry'!N121</f>
        <v>0</v>
      </c>
      <c r="J73" s="79">
        <f>'2b.  Complex Form Data Entry'!G121</f>
        <v>0</v>
      </c>
      <c r="K73" s="79">
        <f>'2b.  Complex Form Data Entry'!H121</f>
        <v>0</v>
      </c>
      <c r="L73" s="78">
        <f t="shared" si="10"/>
        <v>0</v>
      </c>
      <c r="M73" s="79">
        <f>'2b.  Complex Form Data Entry'!I121</f>
        <v>0</v>
      </c>
      <c r="N73" s="79">
        <f>'2b.  Complex Form Data Entry'!J121</f>
        <v>0</v>
      </c>
      <c r="O73" s="78">
        <f t="shared" si="11"/>
        <v>0</v>
      </c>
      <c r="P73" s="79">
        <f>'2b.  Complex Form Data Entry'!K121</f>
        <v>0</v>
      </c>
      <c r="Q73" s="79">
        <f>'2b.  Complex Form Data Entry'!L121</f>
        <v>0</v>
      </c>
      <c r="R73" s="78">
        <f t="shared" si="12"/>
        <v>0</v>
      </c>
      <c r="S73" s="81">
        <f>'2b.  Complex Form Data Entry'!M121</f>
        <v>0</v>
      </c>
      <c r="T73" s="12"/>
    </row>
    <row r="74" spans="1:20" ht="13.8" hidden="1">
      <c r="A74" s="26"/>
      <c r="B74" s="27"/>
      <c r="C74" s="28" t="s">
        <v>12</v>
      </c>
      <c r="D74" s="29"/>
      <c r="E74" s="29"/>
      <c r="F74" s="29"/>
      <c r="G74" s="29"/>
      <c r="H74" s="185"/>
      <c r="I74" s="61">
        <f aca="true" t="shared" si="17" ref="I74:S74">SUM(I67:I73)</f>
        <v>0</v>
      </c>
      <c r="J74" s="61">
        <f t="shared" si="17"/>
        <v>0</v>
      </c>
      <c r="K74" s="61">
        <f t="shared" si="17"/>
        <v>0</v>
      </c>
      <c r="L74" s="61">
        <f t="shared" si="10"/>
        <v>0</v>
      </c>
      <c r="M74" s="61">
        <f t="shared" si="17"/>
        <v>0</v>
      </c>
      <c r="N74" s="61">
        <f t="shared" si="17"/>
        <v>0</v>
      </c>
      <c r="O74" s="61">
        <f t="shared" si="11"/>
        <v>0</v>
      </c>
      <c r="P74" s="61">
        <f aca="true" t="shared" si="18" ref="P74:Q74">SUM(P67:P73)</f>
        <v>0</v>
      </c>
      <c r="Q74" s="61">
        <f t="shared" si="18"/>
        <v>0</v>
      </c>
      <c r="R74" s="61">
        <f t="shared" si="12"/>
        <v>0</v>
      </c>
      <c r="S74" s="62">
        <f t="shared" si="17"/>
        <v>0</v>
      </c>
      <c r="T74" s="12"/>
    </row>
    <row r="75" spans="1:20" ht="3" customHeight="1">
      <c r="A75" s="55"/>
      <c r="B75" s="56"/>
      <c r="C75" s="2"/>
      <c r="D75" s="23"/>
      <c r="E75" s="23"/>
      <c r="F75" s="23"/>
      <c r="G75" s="23"/>
      <c r="H75" s="186"/>
      <c r="I75" s="57"/>
      <c r="J75" s="58"/>
      <c r="K75" s="58"/>
      <c r="L75" s="78">
        <f t="shared" si="10"/>
        <v>0</v>
      </c>
      <c r="M75" s="59"/>
      <c r="N75" s="58"/>
      <c r="O75" s="78">
        <f t="shared" si="11"/>
        <v>0</v>
      </c>
      <c r="P75" s="58"/>
      <c r="Q75" s="58"/>
      <c r="R75" s="78">
        <f t="shared" si="12"/>
        <v>0</v>
      </c>
      <c r="S75" s="60"/>
      <c r="T75" s="12"/>
    </row>
    <row r="76" spans="1:20" ht="13.8">
      <c r="A76" s="415" t="str">
        <f>IF('2b.  Complex Form Data Entry'!E124="","   ",'2b.  Complex Form Data Entry'!E124)</f>
        <v>Metro Transit Capital Fund</v>
      </c>
      <c r="B76" s="416"/>
      <c r="C76" s="417"/>
      <c r="D76" s="162" t="str">
        <f>IF(A76="   ","   ",IF(A76='2b.  Complex Form Data Entry'!$G$21,'2b.  Complex Form Data Entry'!J$21,IF(A76='2b.  Complex Form Data Entry'!$G$22,'2b.  Complex Form Data Entry'!J$22,IF(A76='2b.  Complex Form Data Entry'!$G$23,'2b.  Complex Form Data Entry'!J$23,IF(A76='2b.  Complex Form Data Entry'!$G$24,'2b.  Complex Form Data Entry'!$J$24,IF(A76='2b.  Complex Form Data Entry'!$G$25,'2b.  Complex Form Data Entry'!J$25,IF(A76='2b.  Complex Form Data Entry'!$G$26,'2b.  Complex Form Data Entry'!J$26,"   ")))))))</f>
        <v>C36410</v>
      </c>
      <c r="E76" s="87" t="str">
        <f>IF(A76="   ","   ",IF(A76='2b.  Complex Form Data Entry'!$G$21,'2b.  Complex Form Data Entry'!K$21,IF(A76='2b.  Complex Form Data Entry'!$G$22,'2b.  Complex Form Data Entry'!K$22,IF(A76='2b.  Complex Form Data Entry'!$G$23,'2b.  Complex Form Data Entry'!K$23,IF(A76='2b.  Complex Form Data Entry'!$G$24,'2b.  Complex Form Data Entry'!$K$24,IF(A76='2b.  Complex Form Data Entry'!G$25,'2b.  Complex Form Data Entry'!K$25,IF(A76='2b.  Complex Form Data Entry'!G$26,'2b.  Complex Form Data Entry'!K$26,"   ")))))))</f>
        <v>DOT</v>
      </c>
      <c r="F76" s="162">
        <f>IF(A76="   ","   ",IF(A76='2b.  Complex Form Data Entry'!$G$21,'2b.  Complex Form Data Entry'!L$21,IF(A76='2b.  Complex Form Data Entry'!$G$22,'2b.  Complex Form Data Entry'!L$22,IF(A76='2b.  Complex Form Data Entry'!$G$23,'2b.  Complex Form Data Entry'!L$23,IF(A76='2b.  Complex Form Data Entry'!$G$24,'2b.  Complex Form Data Entry'!$L$24,IF(A76='2b.  Complex Form Data Entry'!$G$25,'2b.  Complex Form Data Entry'!$L$25,IF(A76='2b.  Complex Form Data Entry'!$G$26,'2b.  Complex Form Data Entry'!$L$26,"   ")))))))</f>
        <v>3641</v>
      </c>
      <c r="G76" s="320">
        <f>IF('2b.  Complex Form Data Entry'!I124="","   ",'2b.  Complex Form Data Entry'!I124)</f>
        <v>1131130</v>
      </c>
      <c r="H76" s="182"/>
      <c r="I76" s="47"/>
      <c r="J76" s="38"/>
      <c r="K76" s="38"/>
      <c r="L76" s="78">
        <f t="shared" si="10"/>
        <v>0</v>
      </c>
      <c r="M76" s="38"/>
      <c r="N76" s="38"/>
      <c r="O76" s="78">
        <f t="shared" si="11"/>
        <v>0</v>
      </c>
      <c r="P76" s="38"/>
      <c r="Q76" s="38"/>
      <c r="R76" s="78">
        <f t="shared" si="12"/>
        <v>0</v>
      </c>
      <c r="S76" s="39"/>
      <c r="T76" s="12"/>
    </row>
    <row r="77" spans="1:20" ht="13.8" hidden="1">
      <c r="A77" s="19"/>
      <c r="B77" s="49" t="s">
        <v>21</v>
      </c>
      <c r="C77" s="20"/>
      <c r="D77" s="44"/>
      <c r="E77" s="44"/>
      <c r="F77" s="44"/>
      <c r="G77" s="44"/>
      <c r="H77" s="184" t="str">
        <f>IF('2b.  Complex Form Data Entry'!E126="","  ",'2b.  Complex Form Data Entry'!E126)</f>
        <v xml:space="preserve">  </v>
      </c>
      <c r="I77" s="79">
        <f>'2b.  Complex Form Data Entry'!N126</f>
        <v>0</v>
      </c>
      <c r="J77" s="79">
        <f>'2b.  Complex Form Data Entry'!G126</f>
        <v>0</v>
      </c>
      <c r="K77" s="79">
        <f>'2b.  Complex Form Data Entry'!H126</f>
        <v>0</v>
      </c>
      <c r="L77" s="78">
        <f t="shared" si="10"/>
        <v>0</v>
      </c>
      <c r="M77" s="79">
        <f>'2b.  Complex Form Data Entry'!I126</f>
        <v>0</v>
      </c>
      <c r="N77" s="79">
        <f>'2b.  Complex Form Data Entry'!J126</f>
        <v>0</v>
      </c>
      <c r="O77" s="78">
        <f t="shared" si="11"/>
        <v>0</v>
      </c>
      <c r="P77" s="79">
        <f>'2b.  Complex Form Data Entry'!K126</f>
        <v>0</v>
      </c>
      <c r="Q77" s="79">
        <f>'2b.  Complex Form Data Entry'!L126</f>
        <v>0</v>
      </c>
      <c r="R77" s="78">
        <f t="shared" si="12"/>
        <v>0</v>
      </c>
      <c r="S77" s="100">
        <f>'2b.  Complex Form Data Entry'!M126</f>
        <v>0</v>
      </c>
      <c r="T77" s="12"/>
    </row>
    <row r="78" spans="1:20" ht="13.8" hidden="1">
      <c r="A78" s="19"/>
      <c r="B78" s="49" t="s">
        <v>25</v>
      </c>
      <c r="C78" s="20"/>
      <c r="D78" s="44"/>
      <c r="E78" s="44"/>
      <c r="F78" s="44"/>
      <c r="G78" s="44"/>
      <c r="H78" s="184" t="str">
        <f>IF('2b.  Complex Form Data Entry'!E127="","  ",'2b.  Complex Form Data Entry'!E127)</f>
        <v xml:space="preserve">  </v>
      </c>
      <c r="I78" s="79">
        <f>'2b.  Complex Form Data Entry'!N127</f>
        <v>0</v>
      </c>
      <c r="J78" s="79">
        <f>'2b.  Complex Form Data Entry'!G127</f>
        <v>0</v>
      </c>
      <c r="K78" s="79">
        <f>'2b.  Complex Form Data Entry'!H127</f>
        <v>0</v>
      </c>
      <c r="L78" s="78">
        <f t="shared" si="10"/>
        <v>0</v>
      </c>
      <c r="M78" s="79">
        <f>'2b.  Complex Form Data Entry'!I127</f>
        <v>0</v>
      </c>
      <c r="N78" s="79">
        <f>'2b.  Complex Form Data Entry'!J127</f>
        <v>0</v>
      </c>
      <c r="O78" s="78">
        <f t="shared" si="11"/>
        <v>0</v>
      </c>
      <c r="P78" s="79">
        <f>'2b.  Complex Form Data Entry'!K127</f>
        <v>0</v>
      </c>
      <c r="Q78" s="79">
        <f>'2b.  Complex Form Data Entry'!L127</f>
        <v>0</v>
      </c>
      <c r="R78" s="78">
        <f t="shared" si="12"/>
        <v>0</v>
      </c>
      <c r="S78" s="100">
        <f>'2b.  Complex Form Data Entry'!M127</f>
        <v>0</v>
      </c>
      <c r="T78" s="12"/>
    </row>
    <row r="79" spans="1:20" ht="13.8" hidden="1">
      <c r="A79" s="19"/>
      <c r="B79" s="49" t="s">
        <v>53</v>
      </c>
      <c r="C79" s="20"/>
      <c r="D79" s="44"/>
      <c r="E79" s="44"/>
      <c r="F79" s="44"/>
      <c r="G79" s="44"/>
      <c r="H79" s="184" t="str">
        <f>IF('2b.  Complex Form Data Entry'!E128="","  ",'2b.  Complex Form Data Entry'!E128)</f>
        <v xml:space="preserve">  </v>
      </c>
      <c r="I79" s="79">
        <f>'2b.  Complex Form Data Entry'!N128</f>
        <v>0</v>
      </c>
      <c r="J79" s="79">
        <f>'2b.  Complex Form Data Entry'!G128</f>
        <v>0</v>
      </c>
      <c r="K79" s="79">
        <f>'2b.  Complex Form Data Entry'!H128</f>
        <v>0</v>
      </c>
      <c r="L79" s="78">
        <f t="shared" si="10"/>
        <v>0</v>
      </c>
      <c r="M79" s="79">
        <f>'2b.  Complex Form Data Entry'!I128</f>
        <v>0</v>
      </c>
      <c r="N79" s="79">
        <f>'2b.  Complex Form Data Entry'!J128</f>
        <v>0</v>
      </c>
      <c r="O79" s="78">
        <f t="shared" si="11"/>
        <v>0</v>
      </c>
      <c r="P79" s="79">
        <f>'2b.  Complex Form Data Entry'!K128</f>
        <v>0</v>
      </c>
      <c r="Q79" s="79">
        <f>'2b.  Complex Form Data Entry'!L128</f>
        <v>0</v>
      </c>
      <c r="R79" s="78">
        <f t="shared" si="12"/>
        <v>0</v>
      </c>
      <c r="S79" s="100">
        <f>'2b.  Complex Form Data Entry'!M128</f>
        <v>0</v>
      </c>
      <c r="T79" s="12"/>
    </row>
    <row r="80" spans="1:20" ht="13.2" customHeight="1" hidden="1">
      <c r="A80" s="19"/>
      <c r="B80" s="413" t="s">
        <v>26</v>
      </c>
      <c r="C80" s="414"/>
      <c r="D80" s="44"/>
      <c r="E80" s="44"/>
      <c r="F80" s="44"/>
      <c r="G80" s="44"/>
      <c r="H80" s="184" t="str">
        <f>IF('2b.  Complex Form Data Entry'!E129="","  ",'2b.  Complex Form Data Entry'!E129)</f>
        <v xml:space="preserve">  </v>
      </c>
      <c r="I80" s="79">
        <f>'2b.  Complex Form Data Entry'!N129</f>
        <v>0</v>
      </c>
      <c r="J80" s="79">
        <f>'2b.  Complex Form Data Entry'!G129</f>
        <v>0</v>
      </c>
      <c r="K80" s="79">
        <f>'2b.  Complex Form Data Entry'!H129</f>
        <v>0</v>
      </c>
      <c r="L80" s="78">
        <f t="shared" si="10"/>
        <v>0</v>
      </c>
      <c r="M80" s="79">
        <f>'2b.  Complex Form Data Entry'!I129</f>
        <v>0</v>
      </c>
      <c r="N80" s="79">
        <f>'2b.  Complex Form Data Entry'!J129</f>
        <v>0</v>
      </c>
      <c r="O80" s="78">
        <f t="shared" si="11"/>
        <v>0</v>
      </c>
      <c r="P80" s="79">
        <f>'2b.  Complex Form Data Entry'!K129</f>
        <v>0</v>
      </c>
      <c r="Q80" s="79">
        <f>'2b.  Complex Form Data Entry'!L129</f>
        <v>0</v>
      </c>
      <c r="R80" s="78">
        <f t="shared" si="12"/>
        <v>0</v>
      </c>
      <c r="S80" s="100">
        <f>'2b.  Complex Form Data Entry'!M129</f>
        <v>0</v>
      </c>
      <c r="T80" s="12"/>
    </row>
    <row r="81" spans="1:20" ht="13.8" hidden="1">
      <c r="A81" s="19"/>
      <c r="B81" s="413" t="s">
        <v>26</v>
      </c>
      <c r="C81" s="414"/>
      <c r="D81" s="44"/>
      <c r="E81" s="44"/>
      <c r="F81" s="44"/>
      <c r="G81" s="44"/>
      <c r="H81" s="184"/>
      <c r="I81" s="79">
        <f>'2b.  Complex Form Data Entry'!N130</f>
        <v>0</v>
      </c>
      <c r="J81" s="79">
        <f>'2b.  Complex Form Data Entry'!G130</f>
        <v>0</v>
      </c>
      <c r="K81" s="79">
        <f>'2b.  Complex Form Data Entry'!H130</f>
        <v>0</v>
      </c>
      <c r="L81" s="78">
        <f t="shared" si="10"/>
        <v>0</v>
      </c>
      <c r="M81" s="79">
        <f>'2b.  Complex Form Data Entry'!I130</f>
        <v>0</v>
      </c>
      <c r="N81" s="79">
        <f>'2b.  Complex Form Data Entry'!J130</f>
        <v>0</v>
      </c>
      <c r="O81" s="313">
        <f t="shared" si="11"/>
        <v>0</v>
      </c>
      <c r="P81" s="314">
        <f>'2b.  Complex Form Data Entry'!K130</f>
        <v>0</v>
      </c>
      <c r="Q81" s="314">
        <f>'2b.  Complex Form Data Entry'!L130</f>
        <v>0</v>
      </c>
      <c r="R81" s="313">
        <f t="shared" si="12"/>
        <v>0</v>
      </c>
      <c r="S81" s="100">
        <f>'2b.  Complex Form Data Entry'!M130</f>
        <v>0</v>
      </c>
      <c r="T81" s="12"/>
    </row>
    <row r="82" spans="1:20" ht="13.8" hidden="1">
      <c r="A82" s="19"/>
      <c r="B82" s="411" t="s">
        <v>26</v>
      </c>
      <c r="C82" s="412"/>
      <c r="D82" s="44"/>
      <c r="E82" s="44"/>
      <c r="F82" s="44"/>
      <c r="G82" s="44"/>
      <c r="H82" s="184" t="str">
        <f>IF('2b.  Complex Form Data Entry'!E131="","  ",'2b.  Complex Form Data Entry'!E131)</f>
        <v xml:space="preserve">  </v>
      </c>
      <c r="I82" s="79">
        <f>'2b.  Complex Form Data Entry'!N131</f>
        <v>0</v>
      </c>
      <c r="J82" s="79">
        <f>'2b.  Complex Form Data Entry'!G131</f>
        <v>0</v>
      </c>
      <c r="K82" s="79">
        <f>'2b.  Complex Form Data Entry'!H131</f>
        <v>0</v>
      </c>
      <c r="L82" s="78">
        <f t="shared" si="10"/>
        <v>0</v>
      </c>
      <c r="M82" s="79">
        <f>'2b.  Complex Form Data Entry'!I131</f>
        <v>0</v>
      </c>
      <c r="N82" s="79">
        <f>'2b.  Complex Form Data Entry'!J131</f>
        <v>0</v>
      </c>
      <c r="O82" s="313">
        <f t="shared" si="11"/>
        <v>0</v>
      </c>
      <c r="P82" s="314">
        <f>'2b.  Complex Form Data Entry'!K131</f>
        <v>0</v>
      </c>
      <c r="Q82" s="314">
        <f>'2b.  Complex Form Data Entry'!L131</f>
        <v>0</v>
      </c>
      <c r="R82" s="313">
        <f t="shared" si="12"/>
        <v>0</v>
      </c>
      <c r="S82" s="100">
        <f>'2b.  Complex Form Data Entry'!M131</f>
        <v>0</v>
      </c>
      <c r="T82" s="12"/>
    </row>
    <row r="83" spans="1:20" ht="13.8">
      <c r="A83" s="19"/>
      <c r="B83" s="315" t="s">
        <v>26</v>
      </c>
      <c r="C83" s="316"/>
      <c r="D83" s="44"/>
      <c r="E83" s="44"/>
      <c r="F83" s="44"/>
      <c r="G83" s="44"/>
      <c r="H83" s="184" t="str">
        <f>IF('2b.  Complex Form Data Entry'!E132="","  ",'2b.  Complex Form Data Entry'!E132)</f>
        <v>Metro's contribution to construction of ramp to maintain bus access to DSTT (80% per PSA)</v>
      </c>
      <c r="I83" s="79">
        <f>'2b.  Complex Form Data Entry'!N132</f>
        <v>0</v>
      </c>
      <c r="J83" s="79">
        <f>'2b.  Complex Form Data Entry'!G132</f>
        <v>0</v>
      </c>
      <c r="K83" s="79">
        <f>'2b.  Complex Form Data Entry'!H132</f>
        <v>0</v>
      </c>
      <c r="L83" s="78">
        <f aca="true" t="shared" si="19" ref="L83">J83+K83</f>
        <v>0</v>
      </c>
      <c r="M83" s="79">
        <f>'2b.  Complex Form Data Entry'!I132</f>
        <v>0</v>
      </c>
      <c r="N83" s="79">
        <f>'2b.  Complex Form Data Entry'!J132</f>
        <v>4000000</v>
      </c>
      <c r="O83" s="78">
        <f aca="true" t="shared" si="20" ref="O83">M83+N83</f>
        <v>4000000</v>
      </c>
      <c r="P83" s="314">
        <f>'2b.  Complex Form Data Entry'!K132</f>
        <v>0</v>
      </c>
      <c r="Q83" s="314">
        <f>'2b.  Complex Form Data Entry'!L132</f>
        <v>0</v>
      </c>
      <c r="R83" s="78">
        <f aca="true" t="shared" si="21" ref="R83">P83+Q83</f>
        <v>0</v>
      </c>
      <c r="S83" s="100">
        <f>'2b.  Complex Form Data Entry'!M132</f>
        <v>0</v>
      </c>
      <c r="T83" s="12"/>
    </row>
    <row r="84" spans="1:20" ht="13.8">
      <c r="A84" s="26"/>
      <c r="B84" s="27"/>
      <c r="C84" s="28" t="s">
        <v>12</v>
      </c>
      <c r="D84" s="29"/>
      <c r="E84" s="29"/>
      <c r="F84" s="29"/>
      <c r="G84" s="29"/>
      <c r="H84" s="185"/>
      <c r="I84" s="61">
        <f>SUM(I77:I83)</f>
        <v>0</v>
      </c>
      <c r="J84" s="61">
        <f>SUM(J77:J83)</f>
        <v>0</v>
      </c>
      <c r="K84" s="61">
        <f>SUM(K77:K83)</f>
        <v>0</v>
      </c>
      <c r="L84" s="61">
        <f t="shared" si="10"/>
        <v>0</v>
      </c>
      <c r="M84" s="61">
        <f>SUM(M77:M83)</f>
        <v>0</v>
      </c>
      <c r="N84" s="61">
        <f>SUM(N77:N83)</f>
        <v>4000000</v>
      </c>
      <c r="O84" s="336">
        <f t="shared" si="11"/>
        <v>4000000</v>
      </c>
      <c r="P84" s="324">
        <f>SUM(P77:P83)</f>
        <v>0</v>
      </c>
      <c r="Q84" s="324">
        <f>SUM(Q77:Q83)</f>
        <v>0</v>
      </c>
      <c r="R84" s="336">
        <f t="shared" si="12"/>
        <v>0</v>
      </c>
      <c r="S84" s="62">
        <f>SUM(S77:S83)</f>
        <v>0</v>
      </c>
      <c r="T84" s="12"/>
    </row>
    <row r="85" spans="1:20" ht="3" customHeight="1">
      <c r="A85" s="55"/>
      <c r="B85" s="56"/>
      <c r="C85" s="2"/>
      <c r="D85" s="326"/>
      <c r="E85" s="326"/>
      <c r="F85" s="326"/>
      <c r="G85" s="326"/>
      <c r="H85" s="186"/>
      <c r="I85" s="57"/>
      <c r="J85" s="58"/>
      <c r="K85" s="58"/>
      <c r="L85" s="327">
        <f t="shared" si="10"/>
        <v>0</v>
      </c>
      <c r="M85" s="59"/>
      <c r="N85" s="58"/>
      <c r="O85" s="327">
        <f t="shared" si="11"/>
        <v>0</v>
      </c>
      <c r="P85" s="58"/>
      <c r="Q85" s="58"/>
      <c r="R85" s="327">
        <f t="shared" si="12"/>
        <v>0</v>
      </c>
      <c r="S85" s="60"/>
      <c r="T85" s="12"/>
    </row>
    <row r="86" spans="1:20" ht="13.95" customHeight="1">
      <c r="A86" s="415" t="str">
        <f>IF('2b.  Complex Form Data Entry'!E135="","   ",'2b.  Complex Form Data Entry'!E135)</f>
        <v>Metro Transit Operating Fund</v>
      </c>
      <c r="B86" s="416"/>
      <c r="C86" s="417"/>
      <c r="D86" s="328" t="str">
        <f>IF(A86="   ","   ",IF(A86='2b.  Complex Form Data Entry'!$G$21,'2b.  Complex Form Data Entry'!J$21,IF(A86='2b.  Complex Form Data Entry'!$G$22,'2b.  Complex Form Data Entry'!J$22,IF(A86='2b.  Complex Form Data Entry'!$G$23,'2b.  Complex Form Data Entry'!J$23,IF(A86='2b.  Complex Form Data Entry'!$G$24,'2b.  Complex Form Data Entry'!$J$24,IF(A86='2b.  Complex Form Data Entry'!$G$25,'2b.  Complex Form Data Entry'!J$25,IF(A86='2b.  Complex Form Data Entry'!$G$26,'2b.  Complex Form Data Entry'!J$26,"   ")))))))</f>
        <v>A46410</v>
      </c>
      <c r="E86" s="329" t="str">
        <f>IF(A86="   ","   ",IF(A86='2b.  Complex Form Data Entry'!$G$21,'2b.  Complex Form Data Entry'!K$21,IF(A86='2b.  Complex Form Data Entry'!$G$22,'2b.  Complex Form Data Entry'!K$22,IF(A86='2b.  Complex Form Data Entry'!$G$23,'2b.  Complex Form Data Entry'!K$23,IF(A86='2b.  Complex Form Data Entry'!$G$24,'2b.  Complex Form Data Entry'!$K$24,IF(A86='2b.  Complex Form Data Entry'!G$25,'2b.  Complex Form Data Entry'!K$25,IF(A86='2b.  Complex Form Data Entry'!G$26,'2b.  Complex Form Data Entry'!K$26,"   ")))))))</f>
        <v>DOT</v>
      </c>
      <c r="F86" s="328">
        <f>IF(A86="   ","   ",IF(A86='2b.  Complex Form Data Entry'!$G$21,'2b.  Complex Form Data Entry'!L$21,IF(A86='2b.  Complex Form Data Entry'!$G$22,'2b.  Complex Form Data Entry'!L$22,IF(A86='2b.  Complex Form Data Entry'!$G$23,'2b.  Complex Form Data Entry'!L$23,IF(A86='2b.  Complex Form Data Entry'!$G$24,'2b.  Complex Form Data Entry'!$L$24,IF(A86='2b.  Complex Form Data Entry'!G$25,'2b.  Complex Form Data Entry'!L$25,IF(A86='2b.  Complex Form Data Entry'!G$26,'2b.  Complex Form Data Entry'!L$26,"   ")))))))</f>
        <v>4641</v>
      </c>
      <c r="G86" s="330" t="str">
        <f>IF('2b.  Complex Form Data Entry'!I135="","   ",'2b.  Complex Form Data Entry'!I135)</f>
        <v>NA</v>
      </c>
      <c r="H86" s="331"/>
      <c r="I86" s="331"/>
      <c r="J86" s="332"/>
      <c r="K86" s="333"/>
      <c r="L86" s="334"/>
      <c r="M86" s="334"/>
      <c r="N86" s="333"/>
      <c r="O86" s="334"/>
      <c r="P86" s="334"/>
      <c r="Q86" s="334"/>
      <c r="R86" s="334"/>
      <c r="S86" s="335"/>
      <c r="T86" s="12"/>
    </row>
    <row r="87" spans="1:20" ht="13.95" customHeight="1" hidden="1">
      <c r="A87" s="16"/>
      <c r="B87" s="49" t="s">
        <v>21</v>
      </c>
      <c r="C87" s="20"/>
      <c r="D87" s="44"/>
      <c r="E87" s="44"/>
      <c r="F87" s="44"/>
      <c r="G87" s="44"/>
      <c r="H87" s="184" t="str">
        <f>IF('2b.  Complex Form Data Entry'!E137="","  ",'2b.  Complex Form Data Entry'!E137)</f>
        <v xml:space="preserve">  </v>
      </c>
      <c r="I87" s="78">
        <f>'2b.  Complex Form Data Entry'!N137</f>
        <v>0</v>
      </c>
      <c r="J87" s="78">
        <f>'2b.  Complex Form Data Entry'!G137</f>
        <v>0</v>
      </c>
      <c r="K87" s="78">
        <f>'2b.  Complex Form Data Entry'!H137</f>
        <v>0</v>
      </c>
      <c r="L87" s="78">
        <f>J87+K87</f>
        <v>0</v>
      </c>
      <c r="M87" s="78">
        <f>'2b.  Complex Form Data Entry'!I137</f>
        <v>0</v>
      </c>
      <c r="N87" s="78">
        <f>'2b.  Complex Form Data Entry'!J137</f>
        <v>0</v>
      </c>
      <c r="O87" s="78">
        <f aca="true" t="shared" si="22" ref="O87:O94">M87+N87</f>
        <v>0</v>
      </c>
      <c r="P87" s="78">
        <f>'2b.  Complex Form Data Entry'!K137</f>
        <v>0</v>
      </c>
      <c r="Q87" s="78">
        <f>'2b.  Complex Form Data Entry'!L137</f>
        <v>0</v>
      </c>
      <c r="R87" s="78">
        <f aca="true" t="shared" si="23" ref="R87:R94">P87+Q87</f>
        <v>0</v>
      </c>
      <c r="S87" s="81">
        <f>'2b.  Complex Form Data Entry'!M137</f>
        <v>0</v>
      </c>
      <c r="T87" s="12"/>
    </row>
    <row r="88" spans="1:20" ht="13.95" customHeight="1" hidden="1">
      <c r="A88" s="16"/>
      <c r="B88" s="49" t="s">
        <v>25</v>
      </c>
      <c r="C88" s="20"/>
      <c r="D88" s="44"/>
      <c r="E88" s="44"/>
      <c r="F88" s="44"/>
      <c r="G88" s="44"/>
      <c r="H88" s="184" t="str">
        <f>IF('2b.  Complex Form Data Entry'!E138="","  ",'2b.  Complex Form Data Entry'!E138)</f>
        <v xml:space="preserve">  </v>
      </c>
      <c r="I88" s="78">
        <f>'2b.  Complex Form Data Entry'!N138</f>
        <v>0</v>
      </c>
      <c r="J88" s="78">
        <f>'2b.  Complex Form Data Entry'!G138</f>
        <v>0</v>
      </c>
      <c r="K88" s="78">
        <f>'2b.  Complex Form Data Entry'!H138</f>
        <v>0</v>
      </c>
      <c r="L88" s="78">
        <f aca="true" t="shared" si="24" ref="L88:L94">J88+K88</f>
        <v>0</v>
      </c>
      <c r="M88" s="78">
        <f>'2b.  Complex Form Data Entry'!I138</f>
        <v>0</v>
      </c>
      <c r="N88" s="78">
        <f>'2b.  Complex Form Data Entry'!J138</f>
        <v>0</v>
      </c>
      <c r="O88" s="78">
        <f t="shared" si="22"/>
        <v>0</v>
      </c>
      <c r="P88" s="78">
        <f>'2b.  Complex Form Data Entry'!K138</f>
        <v>0</v>
      </c>
      <c r="Q88" s="78">
        <f>'2b.  Complex Form Data Entry'!L138</f>
        <v>0</v>
      </c>
      <c r="R88" s="78">
        <f t="shared" si="23"/>
        <v>0</v>
      </c>
      <c r="S88" s="81">
        <f>'2b.  Complex Form Data Entry'!M138</f>
        <v>0</v>
      </c>
      <c r="T88" s="12"/>
    </row>
    <row r="89" spans="1:20" ht="13.95" customHeight="1" hidden="1">
      <c r="A89" s="16"/>
      <c r="B89" s="49" t="s">
        <v>53</v>
      </c>
      <c r="C89" s="20"/>
      <c r="D89" s="44"/>
      <c r="E89" s="44"/>
      <c r="F89" s="44"/>
      <c r="G89" s="44"/>
      <c r="H89" s="184" t="str">
        <f>IF('2b.  Complex Form Data Entry'!E139="","  ",'2b.  Complex Form Data Entry'!E139)</f>
        <v xml:space="preserve">  </v>
      </c>
      <c r="I89" s="78">
        <f>'2b.  Complex Form Data Entry'!N139</f>
        <v>0</v>
      </c>
      <c r="J89" s="78">
        <f>'2b.  Complex Form Data Entry'!G139</f>
        <v>0</v>
      </c>
      <c r="K89" s="78">
        <f>'2b.  Complex Form Data Entry'!H139</f>
        <v>0</v>
      </c>
      <c r="L89" s="78">
        <f t="shared" si="24"/>
        <v>0</v>
      </c>
      <c r="M89" s="78">
        <f>'2b.  Complex Form Data Entry'!I139</f>
        <v>0</v>
      </c>
      <c r="N89" s="78">
        <f>'2b.  Complex Form Data Entry'!J139</f>
        <v>0</v>
      </c>
      <c r="O89" s="78">
        <f t="shared" si="22"/>
        <v>0</v>
      </c>
      <c r="P89" s="78">
        <f>'2b.  Complex Form Data Entry'!K139</f>
        <v>0</v>
      </c>
      <c r="Q89" s="78">
        <f>'2b.  Complex Form Data Entry'!L139</f>
        <v>0</v>
      </c>
      <c r="R89" s="78">
        <f t="shared" si="23"/>
        <v>0</v>
      </c>
      <c r="S89" s="81">
        <f>'2b.  Complex Form Data Entry'!M139</f>
        <v>0</v>
      </c>
      <c r="T89" s="12"/>
    </row>
    <row r="90" spans="1:20" ht="13.95" customHeight="1" hidden="1">
      <c r="A90" s="16"/>
      <c r="B90" s="411" t="s">
        <v>55</v>
      </c>
      <c r="C90" s="412"/>
      <c r="D90" s="44"/>
      <c r="E90" s="44"/>
      <c r="F90" s="44"/>
      <c r="G90" s="44"/>
      <c r="H90" s="184" t="str">
        <f>IF('2b.  Complex Form Data Entry'!E140="","  ",'2b.  Complex Form Data Entry'!E140)</f>
        <v xml:space="preserve">  </v>
      </c>
      <c r="I90" s="78">
        <f>'2b.  Complex Form Data Entry'!N140</f>
        <v>0</v>
      </c>
      <c r="J90" s="78">
        <f>'2b.  Complex Form Data Entry'!G140</f>
        <v>0</v>
      </c>
      <c r="K90" s="78">
        <f>'2b.  Complex Form Data Entry'!H140</f>
        <v>0</v>
      </c>
      <c r="L90" s="78">
        <f t="shared" si="24"/>
        <v>0</v>
      </c>
      <c r="M90" s="78">
        <f>'2b.  Complex Form Data Entry'!I140</f>
        <v>0</v>
      </c>
      <c r="N90" s="78">
        <f>'2b.  Complex Form Data Entry'!J140</f>
        <v>0</v>
      </c>
      <c r="O90" s="78">
        <f t="shared" si="22"/>
        <v>0</v>
      </c>
      <c r="P90" s="78">
        <f>'2b.  Complex Form Data Entry'!K140</f>
        <v>0</v>
      </c>
      <c r="Q90" s="78">
        <f>'2b.  Complex Form Data Entry'!L140</f>
        <v>0</v>
      </c>
      <c r="R90" s="78">
        <f t="shared" si="23"/>
        <v>0</v>
      </c>
      <c r="S90" s="81">
        <f>'2b.  Complex Form Data Entry'!M140</f>
        <v>0</v>
      </c>
      <c r="T90" s="12"/>
    </row>
    <row r="91" spans="1:20" ht="13.95" customHeight="1">
      <c r="A91" s="16"/>
      <c r="B91" s="427" t="s">
        <v>26</v>
      </c>
      <c r="C91" s="428"/>
      <c r="D91" s="44"/>
      <c r="E91" s="44"/>
      <c r="F91" s="44"/>
      <c r="G91" s="44"/>
      <c r="H91" s="184" t="str">
        <f>IF('2b.  Complex Form Data Entry'!E141="","  ",'2b.  Complex Form Data Entry'!E141)</f>
        <v xml:space="preserve"> Overhead and other ongoing costs that will not be reimbursed by Sound Transit (see note 5)</v>
      </c>
      <c r="I91" s="78">
        <f>'2b.  Complex Form Data Entry'!N141</f>
        <v>0</v>
      </c>
      <c r="J91" s="78">
        <f>'2b.  Complex Form Data Entry'!G141</f>
        <v>0</v>
      </c>
      <c r="K91" s="78">
        <f>'2b.  Complex Form Data Entry'!H141</f>
        <v>682370</v>
      </c>
      <c r="L91" s="78">
        <f t="shared" si="24"/>
        <v>682370</v>
      </c>
      <c r="M91" s="78">
        <f>'2b.  Complex Form Data Entry'!I141</f>
        <v>2730000</v>
      </c>
      <c r="N91" s="78">
        <f>'2b.  Complex Form Data Entry'!J141</f>
        <v>1500000</v>
      </c>
      <c r="O91" s="78">
        <f t="shared" si="22"/>
        <v>4230000</v>
      </c>
      <c r="P91" s="78">
        <f>'2b.  Complex Form Data Entry'!K141</f>
        <v>0</v>
      </c>
      <c r="Q91" s="78">
        <f>'2b.  Complex Form Data Entry'!L141</f>
        <v>0</v>
      </c>
      <c r="R91" s="78">
        <f t="shared" si="23"/>
        <v>0</v>
      </c>
      <c r="S91" s="81">
        <f>'2b.  Complex Form Data Entry'!M141</f>
        <v>0</v>
      </c>
      <c r="T91" s="325"/>
    </row>
    <row r="92" spans="1:20" ht="13.95" customHeight="1" hidden="1">
      <c r="A92" s="16"/>
      <c r="B92" s="427" t="s">
        <v>26</v>
      </c>
      <c r="C92" s="428"/>
      <c r="D92" s="44"/>
      <c r="E92" s="44"/>
      <c r="F92" s="44"/>
      <c r="G92" s="44"/>
      <c r="H92" s="184"/>
      <c r="I92" s="78">
        <f>'2b.  Complex Form Data Entry'!N142</f>
        <v>0</v>
      </c>
      <c r="J92" s="78">
        <f>'2b.  Complex Form Data Entry'!G142</f>
        <v>0</v>
      </c>
      <c r="K92" s="78">
        <f>'2b.  Complex Form Data Entry'!H142</f>
        <v>0</v>
      </c>
      <c r="L92" s="341" t="s">
        <v>191</v>
      </c>
      <c r="M92" s="78">
        <f>'2b.  Complex Form Data Entry'!I142</f>
        <v>0</v>
      </c>
      <c r="N92" s="78">
        <f>'2b.  Complex Form Data Entry'!J142</f>
        <v>0</v>
      </c>
      <c r="O92" s="341" t="s">
        <v>191</v>
      </c>
      <c r="P92" s="78">
        <f>'2b.  Complex Form Data Entry'!K142</f>
        <v>0</v>
      </c>
      <c r="Q92" s="78">
        <f>'2b.  Complex Form Data Entry'!L142</f>
        <v>0</v>
      </c>
      <c r="R92" s="341" t="s">
        <v>191</v>
      </c>
      <c r="S92" s="81">
        <f>'2b.  Complex Form Data Entry'!M142</f>
        <v>0</v>
      </c>
      <c r="T92" s="12"/>
    </row>
    <row r="93" spans="1:20" ht="13.2" customHeight="1">
      <c r="A93" s="16"/>
      <c r="B93" s="427" t="s">
        <v>26</v>
      </c>
      <c r="C93" s="428"/>
      <c r="D93" s="44"/>
      <c r="E93" s="44"/>
      <c r="F93" s="44"/>
      <c r="G93" s="44"/>
      <c r="H93" s="184" t="str">
        <f>IF('2b.  Complex Form Data Entry'!E143="","  ",'2b.  Complex Form Data Entry'!E143)</f>
        <v>Reduction/elimination of debt service payments associated with the exit of buses from the DSTT (see note 5)</v>
      </c>
      <c r="I93" s="78">
        <f>'2b.  Complex Form Data Entry'!N143</f>
        <v>0</v>
      </c>
      <c r="J93" s="78">
        <f>'2b.  Complex Form Data Entry'!G143</f>
        <v>0</v>
      </c>
      <c r="K93" s="78">
        <f>'2b.  Complex Form Data Entry'!H143</f>
        <v>-776000</v>
      </c>
      <c r="L93" s="78">
        <f t="shared" si="24"/>
        <v>-776000</v>
      </c>
      <c r="M93" s="78">
        <f>'2b.  Complex Form Data Entry'!I143</f>
        <v>-3100000</v>
      </c>
      <c r="N93" s="78">
        <f>'2b.  Complex Form Data Entry'!J143</f>
        <v>0</v>
      </c>
      <c r="O93" s="78">
        <f t="shared" si="22"/>
        <v>-3100000</v>
      </c>
      <c r="P93" s="78">
        <f>'2b.  Complex Form Data Entry'!K143</f>
        <v>0</v>
      </c>
      <c r="Q93" s="78">
        <f>'2b.  Complex Form Data Entry'!L143</f>
        <v>0</v>
      </c>
      <c r="R93" s="78">
        <f t="shared" si="23"/>
        <v>0</v>
      </c>
      <c r="S93" s="81">
        <f>'2b.  Complex Form Data Entry'!M143</f>
        <v>0</v>
      </c>
      <c r="T93" s="325"/>
    </row>
    <row r="94" spans="1:20" ht="13.95" customHeight="1">
      <c r="A94" s="26"/>
      <c r="B94" s="27"/>
      <c r="C94" s="28" t="s">
        <v>12</v>
      </c>
      <c r="D94" s="29"/>
      <c r="E94" s="29"/>
      <c r="F94" s="29"/>
      <c r="G94" s="29"/>
      <c r="H94" s="185"/>
      <c r="I94" s="61">
        <f aca="true" t="shared" si="25" ref="I94:K94">SUM(I87:I93)</f>
        <v>0</v>
      </c>
      <c r="J94" s="61">
        <f t="shared" si="25"/>
        <v>0</v>
      </c>
      <c r="K94" s="61">
        <f t="shared" si="25"/>
        <v>-93630</v>
      </c>
      <c r="L94" s="61">
        <f t="shared" si="24"/>
        <v>-93630</v>
      </c>
      <c r="M94" s="61">
        <f aca="true" t="shared" si="26" ref="M94:N94">SUM(M87:M93)</f>
        <v>-370000</v>
      </c>
      <c r="N94" s="61">
        <f t="shared" si="26"/>
        <v>1500000</v>
      </c>
      <c r="O94" s="336">
        <f t="shared" si="22"/>
        <v>1130000</v>
      </c>
      <c r="P94" s="336">
        <f aca="true" t="shared" si="27" ref="P94:Q94">SUM(P87:P93)</f>
        <v>0</v>
      </c>
      <c r="Q94" s="336">
        <f t="shared" si="27"/>
        <v>0</v>
      </c>
      <c r="R94" s="336">
        <f t="shared" si="23"/>
        <v>0</v>
      </c>
      <c r="S94" s="62">
        <f aca="true" t="shared" si="28" ref="S94">SUM(S87:S93)</f>
        <v>0</v>
      </c>
      <c r="T94" s="12"/>
    </row>
    <row r="95" spans="1:20" ht="4.2" customHeight="1">
      <c r="A95" s="55"/>
      <c r="B95" s="56"/>
      <c r="C95" s="2"/>
      <c r="D95" s="23"/>
      <c r="E95" s="23"/>
      <c r="F95" s="23"/>
      <c r="G95" s="23"/>
      <c r="H95" s="186"/>
      <c r="I95" s="57"/>
      <c r="J95" s="58"/>
      <c r="K95" s="58"/>
      <c r="L95" s="78"/>
      <c r="M95" s="59"/>
      <c r="N95" s="58"/>
      <c r="O95" s="78"/>
      <c r="P95" s="58"/>
      <c r="Q95" s="58"/>
      <c r="R95" s="78"/>
      <c r="S95" s="60"/>
      <c r="T95" s="12"/>
    </row>
    <row r="96" spans="1:20" ht="13.8">
      <c r="A96" s="415" t="str">
        <f>IF('2b.  Complex Form Data Entry'!E146="","   ",'2b.  Complex Form Data Entry'!E146)</f>
        <v>Facilities Management Division/RES</v>
      </c>
      <c r="B96" s="416"/>
      <c r="C96" s="417"/>
      <c r="D96" s="162" t="str">
        <f>IF(A96="   ","   ",IF(A96='2b.  Complex Form Data Entry'!$G$21,'2b.  Complex Form Data Entry'!J$21,IF(A96='2b.  Complex Form Data Entry'!$G$22,'2b.  Complex Form Data Entry'!J$22,IF(A96='2b.  Complex Form Data Entry'!$G$23,'2b.  Complex Form Data Entry'!J$23,IF(A96='2b.  Complex Form Data Entry'!$G$24,'2b.  Complex Form Data Entry'!$J$24,IF(A96='2b.  Complex Form Data Entry'!$G$25,'2b.  Complex Form Data Entry'!J$25,IF(A96='2b.  Complex Form Data Entry'!$G$26,'2b.  Complex Form Data Entry'!J$26,"   ")))))))</f>
        <v>A44000</v>
      </c>
      <c r="E96" s="87" t="str">
        <f>IF(A96="   ","   ",IF(A96='2b.  Complex Form Data Entry'!$G$21,'2b.  Complex Form Data Entry'!K$21,IF(A96='2b.  Complex Form Data Entry'!$G$22,'2b.  Complex Form Data Entry'!K$22,IF(A96='2b.  Complex Form Data Entry'!$G$23,'2b.  Complex Form Data Entry'!K$23,IF(A96='2b.  Complex Form Data Entry'!$G$24,'2b.  Complex Form Data Entry'!$K$24,IF(A96='2b.  Complex Form Data Entry'!G$25,'2b.  Complex Form Data Entry'!K$25,IF(A96='2b.  Complex Form Data Entry'!G$26,'2b.  Complex Form Data Entry'!K$26,"   ")))))))</f>
        <v>DES</v>
      </c>
      <c r="F96" s="162" t="str">
        <f>IF(A96="   ","   ",IF(A96='2b.  Complex Form Data Entry'!$G$21,'2b.  Complex Form Data Entry'!L$21,IF(A96='2b.  Complex Form Data Entry'!$G$22,'2b.  Complex Form Data Entry'!L$22,IF(A96='2b.  Complex Form Data Entry'!$G$23,'2b.  Complex Form Data Entry'!L$23,IF(A96='2b.  Complex Form Data Entry'!$G$24,'2b.  Complex Form Data Entry'!$L$24,IF(A96='2b.  Complex Form Data Entry'!$G$25,'2b.  Complex Form Data Entry'!$L$25,IF(A96='2b.  Complex Form Data Entry'!$G$26,'2b.  Complex Form Data Entry'!$L$26,"   ")))))))</f>
        <v>0010</v>
      </c>
      <c r="G96" s="77" t="str">
        <f>IF('2b.  Complex Form Data Entry'!I146="","   ",'2b.  Complex Form Data Entry'!I146)</f>
        <v>NA</v>
      </c>
      <c r="H96" s="182"/>
      <c r="I96" s="47"/>
      <c r="J96" s="38"/>
      <c r="K96" s="38"/>
      <c r="L96" s="78">
        <f t="shared" si="10"/>
        <v>0</v>
      </c>
      <c r="M96" s="38"/>
      <c r="N96" s="38"/>
      <c r="O96" s="78">
        <f t="shared" si="11"/>
        <v>0</v>
      </c>
      <c r="P96" s="38"/>
      <c r="Q96" s="38"/>
      <c r="R96" s="78">
        <f t="shared" si="12"/>
        <v>0</v>
      </c>
      <c r="S96" s="39"/>
      <c r="T96" s="12"/>
    </row>
    <row r="97" spans="1:20" ht="13.8">
      <c r="A97" s="19"/>
      <c r="B97" s="49" t="s">
        <v>21</v>
      </c>
      <c r="C97" s="20"/>
      <c r="D97" s="44"/>
      <c r="E97" s="44"/>
      <c r="F97" s="44"/>
      <c r="G97" s="44"/>
      <c r="H97" s="184" t="str">
        <f>IF('2b.  Complex Form Data Entry'!E148="","  ",'2b.  Complex Form Data Entry'!E148)</f>
        <v xml:space="preserve">  </v>
      </c>
      <c r="I97" s="79">
        <f>'2b.  Complex Form Data Entry'!N148</f>
        <v>0</v>
      </c>
      <c r="J97" s="79">
        <f>'2b.  Complex Form Data Entry'!G148</f>
        <v>0</v>
      </c>
      <c r="K97" s="79">
        <f>'2b.  Complex Form Data Entry'!H148</f>
        <v>500000</v>
      </c>
      <c r="L97" s="78">
        <f t="shared" si="10"/>
        <v>500000</v>
      </c>
      <c r="M97" s="79">
        <f>'2b.  Complex Form Data Entry'!I148</f>
        <v>0</v>
      </c>
      <c r="N97" s="79">
        <f>'2b.  Complex Form Data Entry'!J148</f>
        <v>0</v>
      </c>
      <c r="O97" s="78">
        <f t="shared" si="11"/>
        <v>0</v>
      </c>
      <c r="P97" s="79">
        <f>'2b.  Complex Form Data Entry'!K148</f>
        <v>0</v>
      </c>
      <c r="Q97" s="79">
        <f>'2b.  Complex Form Data Entry'!L148</f>
        <v>0</v>
      </c>
      <c r="R97" s="78">
        <f t="shared" si="12"/>
        <v>0</v>
      </c>
      <c r="S97" s="100">
        <f>'2b.  Complex Form Data Entry'!M148</f>
        <v>0</v>
      </c>
      <c r="T97" s="12"/>
    </row>
    <row r="98" spans="1:20" ht="13.8" hidden="1">
      <c r="A98" s="19"/>
      <c r="B98" s="49" t="s">
        <v>25</v>
      </c>
      <c r="C98" s="20"/>
      <c r="D98" s="44"/>
      <c r="E98" s="44"/>
      <c r="F98" s="44"/>
      <c r="G98" s="44"/>
      <c r="H98" s="184" t="str">
        <f>IF('2b.  Complex Form Data Entry'!E149="","  ",'2b.  Complex Form Data Entry'!E149)</f>
        <v xml:space="preserve">  </v>
      </c>
      <c r="I98" s="79">
        <f>'2b.  Complex Form Data Entry'!N149</f>
        <v>0</v>
      </c>
      <c r="J98" s="79">
        <f>'2b.  Complex Form Data Entry'!G149</f>
        <v>0</v>
      </c>
      <c r="K98" s="79">
        <f>'2b.  Complex Form Data Entry'!H149</f>
        <v>0</v>
      </c>
      <c r="L98" s="78">
        <f t="shared" si="10"/>
        <v>0</v>
      </c>
      <c r="M98" s="79">
        <f>'2b.  Complex Form Data Entry'!I149</f>
        <v>0</v>
      </c>
      <c r="N98" s="79">
        <f>'2b.  Complex Form Data Entry'!J149</f>
        <v>0</v>
      </c>
      <c r="O98" s="78">
        <f t="shared" si="11"/>
        <v>0</v>
      </c>
      <c r="P98" s="79">
        <f>'2b.  Complex Form Data Entry'!K149</f>
        <v>0</v>
      </c>
      <c r="Q98" s="79">
        <f>'2b.  Complex Form Data Entry'!L149</f>
        <v>0</v>
      </c>
      <c r="R98" s="78">
        <f t="shared" si="12"/>
        <v>0</v>
      </c>
      <c r="S98" s="100">
        <f>'2b.  Complex Form Data Entry'!M149</f>
        <v>0</v>
      </c>
      <c r="T98" s="12"/>
    </row>
    <row r="99" spans="1:20" ht="13.8" hidden="1">
      <c r="A99" s="19"/>
      <c r="B99" s="49" t="s">
        <v>53</v>
      </c>
      <c r="C99" s="20"/>
      <c r="D99" s="44"/>
      <c r="E99" s="44"/>
      <c r="F99" s="44"/>
      <c r="G99" s="44"/>
      <c r="H99" s="184" t="str">
        <f>IF('2b.  Complex Form Data Entry'!E150="","  ",'2b.  Complex Form Data Entry'!E150)</f>
        <v xml:space="preserve">  </v>
      </c>
      <c r="I99" s="79">
        <f>'2b.  Complex Form Data Entry'!N150</f>
        <v>0</v>
      </c>
      <c r="J99" s="79">
        <f>'2b.  Complex Form Data Entry'!G150</f>
        <v>0</v>
      </c>
      <c r="K99" s="79">
        <f>'2b.  Complex Form Data Entry'!H150</f>
        <v>0</v>
      </c>
      <c r="L99" s="78">
        <f t="shared" si="10"/>
        <v>0</v>
      </c>
      <c r="M99" s="79">
        <f>'2b.  Complex Form Data Entry'!I150</f>
        <v>0</v>
      </c>
      <c r="N99" s="79">
        <f>'2b.  Complex Form Data Entry'!J150</f>
        <v>0</v>
      </c>
      <c r="O99" s="78">
        <f t="shared" si="11"/>
        <v>0</v>
      </c>
      <c r="P99" s="79">
        <f>'2b.  Complex Form Data Entry'!K150</f>
        <v>0</v>
      </c>
      <c r="Q99" s="79">
        <f>'2b.  Complex Form Data Entry'!L150</f>
        <v>0</v>
      </c>
      <c r="R99" s="78">
        <f t="shared" si="12"/>
        <v>0</v>
      </c>
      <c r="S99" s="100">
        <f>'2b.  Complex Form Data Entry'!M150</f>
        <v>0</v>
      </c>
      <c r="T99" s="12"/>
    </row>
    <row r="100" spans="1:20" ht="13.8" hidden="1">
      <c r="A100" s="19"/>
      <c r="B100" s="411" t="s">
        <v>55</v>
      </c>
      <c r="C100" s="412"/>
      <c r="D100" s="44"/>
      <c r="E100" s="44"/>
      <c r="F100" s="44"/>
      <c r="G100" s="44"/>
      <c r="H100" s="184" t="str">
        <f>IF('2b.  Complex Form Data Entry'!E151="","  ",'2b.  Complex Form Data Entry'!E151)</f>
        <v xml:space="preserve">  </v>
      </c>
      <c r="I100" s="79">
        <f>'2b.  Complex Form Data Entry'!N151</f>
        <v>0</v>
      </c>
      <c r="J100" s="79">
        <f>'2b.  Complex Form Data Entry'!G151</f>
        <v>0</v>
      </c>
      <c r="K100" s="79">
        <f>'2b.  Complex Form Data Entry'!H151</f>
        <v>0</v>
      </c>
      <c r="L100" s="78">
        <f t="shared" si="10"/>
        <v>0</v>
      </c>
      <c r="M100" s="79">
        <f>'2b.  Complex Form Data Entry'!I151</f>
        <v>0</v>
      </c>
      <c r="N100" s="79">
        <f>'2b.  Complex Form Data Entry'!J151</f>
        <v>0</v>
      </c>
      <c r="O100" s="78">
        <f t="shared" si="11"/>
        <v>0</v>
      </c>
      <c r="P100" s="79">
        <f>'2b.  Complex Form Data Entry'!K151</f>
        <v>0</v>
      </c>
      <c r="Q100" s="79">
        <f>'2b.  Complex Form Data Entry'!L151</f>
        <v>0</v>
      </c>
      <c r="R100" s="78">
        <f t="shared" si="12"/>
        <v>0</v>
      </c>
      <c r="S100" s="100">
        <f>'2b.  Complex Form Data Entry'!M151</f>
        <v>0</v>
      </c>
      <c r="T100" s="12"/>
    </row>
    <row r="101" spans="1:20" ht="13.8" hidden="1">
      <c r="A101" s="19"/>
      <c r="B101" s="413" t="s">
        <v>56</v>
      </c>
      <c r="C101" s="414"/>
      <c r="D101" s="44"/>
      <c r="E101" s="44"/>
      <c r="F101" s="44"/>
      <c r="G101" s="44"/>
      <c r="H101" s="184" t="str">
        <f>IF('2b.  Complex Form Data Entry'!E152="","  ",'2b.  Complex Form Data Entry'!E152)</f>
        <v xml:space="preserve">  </v>
      </c>
      <c r="I101" s="79">
        <f>'2b.  Complex Form Data Entry'!N152</f>
        <v>0</v>
      </c>
      <c r="J101" s="79">
        <f>'2b.  Complex Form Data Entry'!G152</f>
        <v>0</v>
      </c>
      <c r="K101" s="79">
        <f>'2b.  Complex Form Data Entry'!H152</f>
        <v>0</v>
      </c>
      <c r="L101" s="78">
        <f t="shared" si="10"/>
        <v>0</v>
      </c>
      <c r="M101" s="79">
        <f>'2b.  Complex Form Data Entry'!I152</f>
        <v>0</v>
      </c>
      <c r="N101" s="79">
        <f>'2b.  Complex Form Data Entry'!J152</f>
        <v>0</v>
      </c>
      <c r="O101" s="78">
        <f t="shared" si="11"/>
        <v>0</v>
      </c>
      <c r="P101" s="79">
        <f>'2b.  Complex Form Data Entry'!K152</f>
        <v>0</v>
      </c>
      <c r="Q101" s="79">
        <f>'2b.  Complex Form Data Entry'!L152</f>
        <v>0</v>
      </c>
      <c r="R101" s="78">
        <f t="shared" si="12"/>
        <v>0</v>
      </c>
      <c r="S101" s="100">
        <f>'2b.  Complex Form Data Entry'!M152</f>
        <v>0</v>
      </c>
      <c r="T101" s="12"/>
    </row>
    <row r="102" spans="1:20" ht="13.8" hidden="1">
      <c r="A102" s="19"/>
      <c r="B102" s="411" t="s">
        <v>57</v>
      </c>
      <c r="C102" s="412"/>
      <c r="D102" s="44"/>
      <c r="E102" s="44"/>
      <c r="F102" s="44"/>
      <c r="G102" s="44"/>
      <c r="H102" s="184" t="str">
        <f>IF('2b.  Complex Form Data Entry'!E153="","  ",'2b.  Complex Form Data Entry'!E153)</f>
        <v xml:space="preserve">  </v>
      </c>
      <c r="I102" s="79">
        <f>'2b.  Complex Form Data Entry'!N153</f>
        <v>0</v>
      </c>
      <c r="J102" s="79">
        <f>'2b.  Complex Form Data Entry'!G153</f>
        <v>0</v>
      </c>
      <c r="K102" s="79">
        <f>'2b.  Complex Form Data Entry'!H153</f>
        <v>0</v>
      </c>
      <c r="L102" s="78">
        <f t="shared" si="10"/>
        <v>0</v>
      </c>
      <c r="M102" s="79">
        <f>'2b.  Complex Form Data Entry'!I153</f>
        <v>0</v>
      </c>
      <c r="N102" s="79">
        <f>'2b.  Complex Form Data Entry'!J153</f>
        <v>0</v>
      </c>
      <c r="O102" s="78">
        <f t="shared" si="11"/>
        <v>0</v>
      </c>
      <c r="P102" s="79">
        <f>'2b.  Complex Form Data Entry'!K153</f>
        <v>0</v>
      </c>
      <c r="Q102" s="79">
        <f>'2b.  Complex Form Data Entry'!L153</f>
        <v>0</v>
      </c>
      <c r="R102" s="78">
        <f t="shared" si="12"/>
        <v>0</v>
      </c>
      <c r="S102" s="100">
        <f>'2b.  Complex Form Data Entry'!M153</f>
        <v>0</v>
      </c>
      <c r="T102" s="12"/>
    </row>
    <row r="103" spans="1:20" ht="13.8">
      <c r="A103" s="19"/>
      <c r="B103" s="427" t="s">
        <v>26</v>
      </c>
      <c r="C103" s="428"/>
      <c r="D103" s="44"/>
      <c r="E103" s="44"/>
      <c r="F103" s="44"/>
      <c r="G103" s="44"/>
      <c r="H103" s="184" t="str">
        <f>IF('2b.  Complex Form Data Entry'!E154="","  ",'2b.  Complex Form Data Entry'!E154)</f>
        <v>Closing costs</v>
      </c>
      <c r="I103" s="79">
        <f>'2b.  Complex Form Data Entry'!N154</f>
        <v>0</v>
      </c>
      <c r="J103" s="79">
        <f>'2b.  Complex Form Data Entry'!G154</f>
        <v>0</v>
      </c>
      <c r="K103" s="79">
        <f>'2b.  Complex Form Data Entry'!H154</f>
        <v>50000</v>
      </c>
      <c r="L103" s="78">
        <f t="shared" si="10"/>
        <v>50000</v>
      </c>
      <c r="M103" s="79">
        <f>'2b.  Complex Form Data Entry'!I154</f>
        <v>0</v>
      </c>
      <c r="N103" s="79">
        <f>'2b.  Complex Form Data Entry'!J154</f>
        <v>0</v>
      </c>
      <c r="O103" s="78">
        <f t="shared" si="11"/>
        <v>0</v>
      </c>
      <c r="P103" s="79">
        <f>'2b.  Complex Form Data Entry'!K154</f>
        <v>0</v>
      </c>
      <c r="Q103" s="79">
        <f>'2b.  Complex Form Data Entry'!L154</f>
        <v>0</v>
      </c>
      <c r="R103" s="78">
        <f t="shared" si="12"/>
        <v>0</v>
      </c>
      <c r="S103" s="100">
        <f>'2b.  Complex Form Data Entry'!M154</f>
        <v>0</v>
      </c>
      <c r="T103" s="12"/>
    </row>
    <row r="104" spans="1:20" ht="12.75" customHeight="1">
      <c r="A104" s="26"/>
      <c r="B104" s="27"/>
      <c r="C104" s="28" t="s">
        <v>12</v>
      </c>
      <c r="D104" s="29"/>
      <c r="E104" s="29"/>
      <c r="F104" s="29"/>
      <c r="G104" s="29"/>
      <c r="H104" s="187"/>
      <c r="I104" s="61">
        <f aca="true" t="shared" si="29" ref="I104:S104">SUM(I97:I103)</f>
        <v>0</v>
      </c>
      <c r="J104" s="61">
        <f t="shared" si="29"/>
        <v>0</v>
      </c>
      <c r="K104" s="61">
        <f t="shared" si="29"/>
        <v>550000</v>
      </c>
      <c r="L104" s="336">
        <f t="shared" si="10"/>
        <v>550000</v>
      </c>
      <c r="M104" s="61">
        <f t="shared" si="29"/>
        <v>0</v>
      </c>
      <c r="N104" s="61">
        <f t="shared" si="29"/>
        <v>0</v>
      </c>
      <c r="O104" s="61">
        <f t="shared" si="11"/>
        <v>0</v>
      </c>
      <c r="P104" s="61">
        <f aca="true" t="shared" si="30" ref="P104:Q104">SUM(P97:P103)</f>
        <v>0</v>
      </c>
      <c r="Q104" s="61">
        <f t="shared" si="30"/>
        <v>0</v>
      </c>
      <c r="R104" s="61">
        <f t="shared" si="12"/>
        <v>0</v>
      </c>
      <c r="S104" s="62">
        <f t="shared" si="29"/>
        <v>0</v>
      </c>
      <c r="T104" s="12"/>
    </row>
    <row r="105" spans="1:19" ht="2.25" customHeight="1">
      <c r="A105" s="30"/>
      <c r="B105" s="2"/>
      <c r="C105" s="2"/>
      <c r="D105" s="31"/>
      <c r="E105" s="31"/>
      <c r="F105" s="31"/>
      <c r="G105" s="32"/>
      <c r="H105" s="188"/>
      <c r="I105" s="33"/>
      <c r="J105" s="34"/>
      <c r="K105" s="34"/>
      <c r="L105" s="78">
        <f t="shared" si="10"/>
        <v>0</v>
      </c>
      <c r="M105" s="35"/>
      <c r="N105" s="34"/>
      <c r="O105" s="78">
        <f t="shared" si="11"/>
        <v>0</v>
      </c>
      <c r="P105" s="34"/>
      <c r="Q105" s="34"/>
      <c r="R105" s="78">
        <f t="shared" si="12"/>
        <v>0</v>
      </c>
      <c r="S105" s="36"/>
    </row>
    <row r="106" spans="1:20" ht="14.4" thickBot="1">
      <c r="A106" s="6"/>
      <c r="B106" s="7"/>
      <c r="C106" s="273" t="s">
        <v>6</v>
      </c>
      <c r="D106" s="8"/>
      <c r="E106" s="8"/>
      <c r="F106" s="8"/>
      <c r="G106" s="21"/>
      <c r="H106" s="189"/>
      <c r="I106" s="54">
        <f>I74+I64+I54+I44+I84+I104+I94</f>
        <v>3417178</v>
      </c>
      <c r="J106" s="54">
        <f aca="true" t="shared" si="31" ref="J106:N106">J74+J64+J54+J44+J84+J104+J94</f>
        <v>14800000</v>
      </c>
      <c r="K106" s="54">
        <f t="shared" si="31"/>
        <v>4856370</v>
      </c>
      <c r="L106" s="54">
        <f>L74+L64+L54+L44+L84+L104+L94</f>
        <v>19656370</v>
      </c>
      <c r="M106" s="54">
        <f t="shared" si="31"/>
        <v>-370000</v>
      </c>
      <c r="N106" s="54">
        <f t="shared" si="31"/>
        <v>5500000</v>
      </c>
      <c r="O106" s="54">
        <f>O74+O64+O54+O44+O84+O104+O94</f>
        <v>5130000</v>
      </c>
      <c r="P106" s="54">
        <f>P74+P64+P54+P44+P84+P104+P94</f>
        <v>0</v>
      </c>
      <c r="Q106" s="54">
        <f>Q74+Q64+Q54+Q44+Q84+Q104+Q94</f>
        <v>0</v>
      </c>
      <c r="R106" s="54">
        <f>R74+R64+R54+R44+R84+R104+R94</f>
        <v>0</v>
      </c>
      <c r="S106" s="63">
        <f>S74+S64+S54+S44+S84+S104</f>
        <v>0</v>
      </c>
      <c r="T106" s="5"/>
    </row>
    <row r="107" spans="1:20" ht="3" customHeight="1" thickBot="1">
      <c r="A107" s="2"/>
      <c r="B107" s="2"/>
      <c r="C107" s="2"/>
      <c r="D107" s="2"/>
      <c r="E107" s="2"/>
      <c r="F107" s="2"/>
      <c r="G107" s="41"/>
      <c r="H107" s="41"/>
      <c r="I107" s="41"/>
      <c r="J107" s="42"/>
      <c r="K107" s="42"/>
      <c r="L107" s="42"/>
      <c r="M107" s="42"/>
      <c r="N107" s="42"/>
      <c r="O107" s="42"/>
      <c r="P107" s="42"/>
      <c r="Q107" s="42"/>
      <c r="R107" s="42"/>
      <c r="S107" s="5"/>
      <c r="T107" s="5"/>
    </row>
    <row r="108" spans="1:20" ht="17.4" hidden="1">
      <c r="A108" s="418" t="s">
        <v>129</v>
      </c>
      <c r="B108" s="418"/>
      <c r="C108" s="418"/>
      <c r="D108" s="418"/>
      <c r="E108" s="418"/>
      <c r="F108" s="418"/>
      <c r="G108" s="418"/>
      <c r="H108" s="418"/>
      <c r="I108" s="418"/>
      <c r="J108" s="418"/>
      <c r="K108" s="418"/>
      <c r="L108" s="418"/>
      <c r="M108" s="418"/>
      <c r="N108" s="418"/>
      <c r="O108" s="418"/>
      <c r="P108" s="418"/>
      <c r="Q108" s="418"/>
      <c r="R108" s="418"/>
      <c r="S108" s="418"/>
      <c r="T108" s="1"/>
    </row>
    <row r="109" spans="1:20" ht="3" customHeight="1" hidden="1" thickBot="1">
      <c r="A109" s="40"/>
      <c r="B109" s="40"/>
      <c r="C109" s="40"/>
      <c r="D109" s="40"/>
      <c r="E109" s="40"/>
      <c r="F109" s="40"/>
      <c r="G109" s="40"/>
      <c r="H109" s="40"/>
      <c r="I109" s="40"/>
      <c r="J109" s="40"/>
      <c r="K109" s="40"/>
      <c r="L109" s="40"/>
      <c r="M109" s="40"/>
      <c r="N109" s="40"/>
      <c r="O109" s="40"/>
      <c r="P109" s="40"/>
      <c r="Q109" s="40"/>
      <c r="R109" s="40"/>
      <c r="S109" s="1"/>
      <c r="T109" s="1"/>
    </row>
    <row r="110" spans="1:20" ht="18" customHeight="1" hidden="1" thickBot="1" thickTop="1">
      <c r="A110" s="419" t="s">
        <v>31</v>
      </c>
      <c r="B110" s="419"/>
      <c r="C110" s="419"/>
      <c r="D110" s="419"/>
      <c r="E110" s="419"/>
      <c r="F110" s="419"/>
      <c r="G110" s="419"/>
      <c r="H110" s="419"/>
      <c r="I110" s="419"/>
      <c r="J110" s="419"/>
      <c r="K110" s="419"/>
      <c r="L110" s="419"/>
      <c r="M110" s="419"/>
      <c r="N110" s="419"/>
      <c r="O110" s="419"/>
      <c r="P110" s="419"/>
      <c r="Q110" s="419"/>
      <c r="R110" s="419"/>
      <c r="S110" s="419"/>
      <c r="T110" s="1"/>
    </row>
    <row r="111" spans="1:20" ht="3" customHeight="1" hidden="1" thickBot="1" thickTop="1">
      <c r="A111" s="420"/>
      <c r="B111" s="421"/>
      <c r="C111" s="421"/>
      <c r="D111" s="421"/>
      <c r="E111" s="421"/>
      <c r="F111" s="421"/>
      <c r="G111" s="421"/>
      <c r="H111" s="421"/>
      <c r="I111" s="421"/>
      <c r="J111" s="421"/>
      <c r="K111" s="421"/>
      <c r="L111" s="421"/>
      <c r="M111" s="421"/>
      <c r="N111" s="421"/>
      <c r="O111" s="421"/>
      <c r="P111" s="421"/>
      <c r="Q111" s="421"/>
      <c r="R111" s="421"/>
      <c r="S111" s="421"/>
      <c r="T111" s="1"/>
    </row>
    <row r="112" spans="1:19" ht="13.8" hidden="1">
      <c r="A112" s="422" t="s">
        <v>7</v>
      </c>
      <c r="B112" s="423"/>
      <c r="C112" s="423"/>
      <c r="D112" s="423"/>
      <c r="E112" s="423"/>
      <c r="F112" s="423"/>
      <c r="G112" s="423"/>
      <c r="H112" s="423"/>
      <c r="I112" s="423"/>
      <c r="J112" s="423"/>
      <c r="K112" s="423"/>
      <c r="L112" s="423"/>
      <c r="M112" s="423"/>
      <c r="N112" s="423"/>
      <c r="O112" s="423"/>
      <c r="P112" s="423"/>
      <c r="Q112" s="423"/>
      <c r="R112" s="423"/>
      <c r="S112" s="424"/>
    </row>
    <row r="113" spans="1:20" ht="13.8" hidden="1">
      <c r="A113" s="429" t="s">
        <v>0</v>
      </c>
      <c r="B113" s="430"/>
      <c r="C113" s="431" t="str">
        <f>IF('2b.  Complex Form Data Entry'!G11="","   ",'2b.  Complex Form Data Entry'!G11)</f>
        <v>Sale of Metro Transit Convention Place Station Property to the Washington State Convention Center</v>
      </c>
      <c r="D113" s="431"/>
      <c r="E113" s="431"/>
      <c r="F113" s="431"/>
      <c r="G113" s="431"/>
      <c r="H113" s="431"/>
      <c r="I113" s="431"/>
      <c r="J113" s="431"/>
      <c r="L113" s="276" t="s">
        <v>16</v>
      </c>
      <c r="M113" s="276"/>
      <c r="O113" s="70"/>
      <c r="Q113" s="70"/>
      <c r="R113" s="297">
        <f>R6</f>
        <v>32</v>
      </c>
      <c r="S113" s="69" t="s">
        <v>17</v>
      </c>
      <c r="T113" s="11"/>
    </row>
    <row r="114" spans="1:20" ht="13.5" customHeight="1" hidden="1">
      <c r="A114" s="439" t="s">
        <v>141</v>
      </c>
      <c r="B114" s="425"/>
      <c r="C114" s="438" t="str">
        <f>IF('2b.  Complex Form Data Entry'!G12="","   ",'2b.  Complex Form Data Entry'!G12)</f>
        <v>King County Metro Transit (Metro), General Fund, Facilities Management Division, Mental Illness and Drug Dependency Fund, and Housing, Tourism-Related, and Cultural Development Activity Expenditures</v>
      </c>
      <c r="D114" s="438"/>
      <c r="E114" s="438"/>
      <c r="F114" s="438"/>
      <c r="G114" s="438"/>
      <c r="H114" s="438"/>
      <c r="I114" s="438"/>
      <c r="J114" s="438"/>
      <c r="L114" s="282" t="s">
        <v>27</v>
      </c>
      <c r="M114" s="282"/>
      <c r="P114" s="71"/>
      <c r="Q114" s="71"/>
      <c r="R114" s="298">
        <f>'2b.  Complex Form Data Entry'!G118</f>
        <v>0</v>
      </c>
      <c r="S114" s="52"/>
      <c r="T114" s="11"/>
    </row>
    <row r="115" spans="1:20" ht="13.5" customHeight="1" hidden="1">
      <c r="A115" s="432" t="s">
        <v>2</v>
      </c>
      <c r="B115" s="433"/>
      <c r="C115" s="281" t="str">
        <f>IF('2b.  Complex Form Data Entry'!G15="","   ",'2b.  Complex Form Data Entry'!G15)</f>
        <v>Gregory Svidenko</v>
      </c>
      <c r="E115" s="281"/>
      <c r="F115" s="433" t="s">
        <v>8</v>
      </c>
      <c r="G115" s="433"/>
      <c r="H115" s="303" t="str">
        <f>IF('2b.  Complex Form Data Entry'!G15=""," ",'2b.  Complex Form Data Entry'!G16)</f>
        <v>1/23/17</v>
      </c>
      <c r="I115" s="281"/>
      <c r="J115" s="281"/>
      <c r="L115" s="425" t="s">
        <v>10</v>
      </c>
      <c r="M115" s="425"/>
      <c r="N115" s="425"/>
      <c r="O115" s="425"/>
      <c r="P115" s="72"/>
      <c r="Q115" s="72"/>
      <c r="R115" s="281" t="str">
        <f>IF('2b.  Complex Form Data Entry'!G13="","   ",'2b.  Complex Form Data Entry'!G13)</f>
        <v>Installment sale</v>
      </c>
      <c r="S115" s="302"/>
      <c r="T115" s="11"/>
    </row>
    <row r="116" spans="1:20" ht="13.5" customHeight="1" hidden="1">
      <c r="A116" s="432" t="s">
        <v>3</v>
      </c>
      <c r="B116" s="433"/>
      <c r="C116" s="283"/>
      <c r="D116" s="281"/>
      <c r="E116" s="281"/>
      <c r="F116" s="433" t="s">
        <v>13</v>
      </c>
      <c r="G116" s="433"/>
      <c r="H116" s="281"/>
      <c r="I116" s="281"/>
      <c r="J116" s="281"/>
      <c r="L116" s="425" t="s">
        <v>9</v>
      </c>
      <c r="M116" s="425"/>
      <c r="N116" s="425"/>
      <c r="O116" s="425"/>
      <c r="P116" s="53"/>
      <c r="Q116" s="53"/>
      <c r="R116" s="281" t="str">
        <f>IF('2b.  Complex Form Data Entry'!G14="","   ",'2b.  Complex Form Data Entry'!G14)</f>
        <v>Standalone</v>
      </c>
      <c r="S116" s="302"/>
      <c r="T116" s="11"/>
    </row>
    <row r="117" spans="1:20" ht="12.75" hidden="1">
      <c r="A117" s="304" t="s">
        <v>140</v>
      </c>
      <c r="B117" s="305"/>
      <c r="C117" s="434" t="str">
        <f>IF('2b.  Complex Form Data Entry'!G10=""," ",'2b.  Complex Form Data Entry'!G10)</f>
        <v>Sale of the Convention Place Station Property to the Washington State Convention Center</v>
      </c>
      <c r="D117" s="434"/>
      <c r="E117" s="434"/>
      <c r="F117" s="434"/>
      <c r="G117" s="434"/>
      <c r="H117" s="434"/>
      <c r="I117" s="434"/>
      <c r="J117" s="434"/>
      <c r="K117" s="434"/>
      <c r="L117" s="434"/>
      <c r="M117" s="434"/>
      <c r="N117" s="434"/>
      <c r="O117" s="434"/>
      <c r="P117" s="434"/>
      <c r="Q117" s="434"/>
      <c r="R117" s="434"/>
      <c r="S117" s="435"/>
      <c r="T117" s="11"/>
    </row>
    <row r="118" spans="1:20" ht="6.45" customHeight="1" hidden="1" thickBot="1">
      <c r="A118" s="306"/>
      <c r="B118" s="307"/>
      <c r="C118" s="436"/>
      <c r="D118" s="436"/>
      <c r="E118" s="436"/>
      <c r="F118" s="436"/>
      <c r="G118" s="436"/>
      <c r="H118" s="436"/>
      <c r="I118" s="436"/>
      <c r="J118" s="436"/>
      <c r="K118" s="436"/>
      <c r="L118" s="436"/>
      <c r="M118" s="436"/>
      <c r="N118" s="436"/>
      <c r="O118" s="436"/>
      <c r="P118" s="436"/>
      <c r="Q118" s="436"/>
      <c r="R118" s="436"/>
      <c r="S118" s="437"/>
      <c r="T118" s="11"/>
    </row>
    <row r="119" spans="1:20" ht="18.75" customHeight="1" thickBot="1" thickTop="1">
      <c r="A119" s="471" t="s">
        <v>15</v>
      </c>
      <c r="B119" s="471"/>
      <c r="C119" s="471"/>
      <c r="D119" s="471"/>
      <c r="E119" s="471"/>
      <c r="F119" s="471"/>
      <c r="G119" s="471"/>
      <c r="H119" s="471"/>
      <c r="I119" s="471"/>
      <c r="J119" s="471"/>
      <c r="K119" s="471"/>
      <c r="L119" s="471"/>
      <c r="M119" s="471"/>
      <c r="N119" s="471"/>
      <c r="O119" s="471"/>
      <c r="P119" s="471"/>
      <c r="Q119" s="471"/>
      <c r="R119" s="471"/>
      <c r="S119" s="471"/>
      <c r="T119" s="5"/>
    </row>
    <row r="120" spans="1:20" ht="3" customHeight="1" thickTop="1">
      <c r="A120" s="2"/>
      <c r="B120" s="2"/>
      <c r="C120" s="2"/>
      <c r="D120" s="2"/>
      <c r="E120" s="2"/>
      <c r="F120" s="2"/>
      <c r="G120" s="41"/>
      <c r="H120" s="41"/>
      <c r="I120" s="41"/>
      <c r="J120" s="42"/>
      <c r="K120" s="42"/>
      <c r="L120" s="42"/>
      <c r="M120" s="42"/>
      <c r="N120" s="42"/>
      <c r="O120" s="42"/>
      <c r="P120" s="42"/>
      <c r="Q120" s="42"/>
      <c r="R120" s="42"/>
      <c r="S120" s="5"/>
      <c r="T120" s="5"/>
    </row>
    <row r="121" spans="1:20" ht="16.8">
      <c r="A121" s="37" t="s">
        <v>124</v>
      </c>
      <c r="B121" s="2"/>
      <c r="C121" s="2"/>
      <c r="D121" s="2"/>
      <c r="E121" s="2"/>
      <c r="F121" s="2"/>
      <c r="G121" s="41"/>
      <c r="H121" s="41"/>
      <c r="I121" s="41"/>
      <c r="J121" s="42"/>
      <c r="K121" s="42"/>
      <c r="L121" s="42"/>
      <c r="M121" s="42"/>
      <c r="N121" s="42"/>
      <c r="O121" s="42"/>
      <c r="P121" s="42"/>
      <c r="Q121" s="42"/>
      <c r="R121" s="42"/>
      <c r="S121" s="42"/>
      <c r="T121" s="42"/>
    </row>
    <row r="122" spans="1:20" ht="3" customHeight="1" thickBot="1">
      <c r="A122" s="2"/>
      <c r="B122" s="2"/>
      <c r="C122" s="2"/>
      <c r="D122" s="2"/>
      <c r="E122" s="2"/>
      <c r="F122" s="2"/>
      <c r="G122" s="41"/>
      <c r="H122" s="41"/>
      <c r="I122" s="41"/>
      <c r="J122" s="42"/>
      <c r="K122" s="42"/>
      <c r="L122" s="42"/>
      <c r="M122" s="42"/>
      <c r="N122" s="42"/>
      <c r="O122" s="42"/>
      <c r="P122" s="42"/>
      <c r="Q122" s="42"/>
      <c r="R122" s="42"/>
      <c r="S122" s="42"/>
      <c r="T122" s="42"/>
    </row>
    <row r="123" spans="1:20" ht="15" customHeight="1">
      <c r="A123" s="444" t="s">
        <v>18</v>
      </c>
      <c r="B123" s="445"/>
      <c r="C123" s="446"/>
      <c r="D123" s="450" t="s">
        <v>19</v>
      </c>
      <c r="E123" s="450" t="s">
        <v>5</v>
      </c>
      <c r="F123" s="452" t="s">
        <v>103</v>
      </c>
      <c r="G123" s="450" t="s">
        <v>11</v>
      </c>
      <c r="H123" s="441" t="s">
        <v>23</v>
      </c>
      <c r="I123" s="293"/>
      <c r="J123" s="175">
        <f>'2b.  Complex Form Data Entry'!G19</f>
        <v>2017</v>
      </c>
      <c r="K123" s="269">
        <f>'2b.  Complex Form Data Entry'!H166</f>
        <v>2018</v>
      </c>
      <c r="L123" s="464" t="str">
        <f>CONCATENATE(L35," Appropriation Change")</f>
        <v>2017 / 2018 Appropriation Change</v>
      </c>
      <c r="O123" s="286"/>
      <c r="P123" s="286"/>
      <c r="Q123" s="286"/>
      <c r="R123" s="466" t="s">
        <v>204</v>
      </c>
      <c r="S123" s="467"/>
      <c r="T123" s="42"/>
    </row>
    <row r="124" spans="1:20" ht="37.5" customHeight="1" thickBot="1">
      <c r="A124" s="447"/>
      <c r="B124" s="448"/>
      <c r="C124" s="449"/>
      <c r="D124" s="451"/>
      <c r="E124" s="451"/>
      <c r="F124" s="453"/>
      <c r="G124" s="451"/>
      <c r="H124" s="442"/>
      <c r="I124" s="294"/>
      <c r="J124" s="176" t="s">
        <v>24</v>
      </c>
      <c r="K124" s="270" t="str">
        <f>'2b.  Complex Form Data Entry'!H167</f>
        <v>Allocation Change</v>
      </c>
      <c r="L124" s="465"/>
      <c r="O124" s="286"/>
      <c r="P124" s="286"/>
      <c r="Q124" s="286"/>
      <c r="R124" s="468"/>
      <c r="S124" s="469"/>
      <c r="T124" s="42"/>
    </row>
    <row r="125" spans="1:20" ht="14.85" customHeight="1">
      <c r="A125" s="96" t="str">
        <f>IF('2b.  Complex Form Data Entry'!C168="","   ",'2b.  Complex Form Data Entry'!C168)</f>
        <v>Metro Transit Capital Fund</v>
      </c>
      <c r="B125" s="76"/>
      <c r="C125" s="76"/>
      <c r="D125" s="162" t="str">
        <f>IF(A125="   ","   ",IF(A125='2b.  Complex Form Data Entry'!$G$21,'2b.  Complex Form Data Entry'!J$21,IF(A125='2b.  Complex Form Data Entry'!$G$22,'2b.  Complex Form Data Entry'!J$22,IF(A125='2b.  Complex Form Data Entry'!$G$23,'2b.  Complex Form Data Entry'!J$23,IF(A125='2b.  Complex Form Data Entry'!$G$24,'2b.  Complex Form Data Entry'!$J$24,IF(A125='2b.  Complex Form Data Entry'!$G$25,'2b.  Complex Form Data Entry'!J$25,IF(A125='2b.  Complex Form Data Entry'!$G$26,'2b.  Complex Form Data Entry'!J$26,"   ")))))))</f>
        <v>C36410</v>
      </c>
      <c r="E125" s="87" t="str">
        <f>IF(A125="   ","   ",IF(A125='2b.  Complex Form Data Entry'!$G$21,'2b.  Complex Form Data Entry'!K$21,IF(A125='2b.  Complex Form Data Entry'!$G$22,'2b.  Complex Form Data Entry'!K$22,IF(A125='2b.  Complex Form Data Entry'!$G$23,'2b.  Complex Form Data Entry'!K$23,IF(A125='2b.  Complex Form Data Entry'!$G$24,'2b.  Complex Form Data Entry'!$K$24,IF(A125='2b.  Complex Form Data Entry'!G$25,'2b.  Complex Form Data Entry'!K$25,IF(A125='2b.  Complex Form Data Entry'!G$26,'2b.  Complex Form Data Entry'!K$26,"   ")))))))</f>
        <v>DOT</v>
      </c>
      <c r="F125" s="162">
        <f>IF(A125="   ","   ",IF(A125='2b.  Complex Form Data Entry'!$G$21,'2b.  Complex Form Data Entry'!L$21,IF(A125='2b.  Complex Form Data Entry'!$G$22,'2b.  Complex Form Data Entry'!L$22,IF(A125='2b.  Complex Form Data Entry'!$G$23,'2b.  Complex Form Data Entry'!L$23,IF(A125='2b.  Complex Form Data Entry'!$G$24,'2b.  Complex Form Data Entry'!$L$24,IF(A125='2b.  Complex Form Data Entry'!G$25,'2b.  Complex Form Data Entry'!L$25,IF(A125='2b.  Complex Form Data Entry'!G$26,'2b.  Complex Form Data Entry'!L$26,"   ")))))))</f>
        <v>3641</v>
      </c>
      <c r="G125" s="88" t="str">
        <f>IF('2b.  Complex Form Data Entry'!C168="","   ",'2b.  Complex Form Data Entry'!D168)</f>
        <v>1028624</v>
      </c>
      <c r="H125" s="181" t="str">
        <f>IF('2b.  Complex Form Data Entry'!F162="Y","The transaction was anticipated in the current budget; no supplemental appropriation is required.",IF(A125="","",IF('2b.  Complex Form Data Entry'!F163="Y","The cost of the transaction can be accommodated within existing appropriation authority; no supplemental appropriation is required",'2b.  Complex Form Data Entry'!E168)))</f>
        <v>Project planning costs through the end of 2017/2018.</v>
      </c>
      <c r="I125" s="295"/>
      <c r="J125" s="97">
        <f>'2b.  Complex Form Data Entry'!G168</f>
        <v>0</v>
      </c>
      <c r="K125" s="97">
        <f>'2b.  Complex Form Data Entry'!H168</f>
        <v>0</v>
      </c>
      <c r="L125" s="291">
        <f aca="true" t="shared" si="32" ref="L125:L131">J125+K125</f>
        <v>0</v>
      </c>
      <c r="O125" s="287"/>
      <c r="P125" s="287"/>
      <c r="Q125" s="287"/>
      <c r="R125" s="479">
        <f>L43</f>
        <v>2800000</v>
      </c>
      <c r="S125" s="480"/>
      <c r="T125" s="42"/>
    </row>
    <row r="126" spans="1:20" ht="13.8">
      <c r="A126" s="96" t="str">
        <f>IF('2b.  Complex Form Data Entry'!C169="","   ",'2b.  Complex Form Data Entry'!C169)</f>
        <v>Metro Transit Capital Fund</v>
      </c>
      <c r="B126" s="73"/>
      <c r="C126" s="73"/>
      <c r="D126" s="162" t="str">
        <f>IF(A126="   ","   ",IF(A126='2b.  Complex Form Data Entry'!$G$21,'2b.  Complex Form Data Entry'!J$21,IF(A126='2b.  Complex Form Data Entry'!$G$22,'2b.  Complex Form Data Entry'!J$22,IF(A126='2b.  Complex Form Data Entry'!$G$23,'2b.  Complex Form Data Entry'!J$23,IF(A126='2b.  Complex Form Data Entry'!$G$24,'2b.  Complex Form Data Entry'!$J$24,IF(A126='2b.  Complex Form Data Entry'!$G$25,'2b.  Complex Form Data Entry'!J$25,IF(A126='2b.  Complex Form Data Entry'!$G$26,'2b.  Complex Form Data Entry'!J$26,"   ")))))))</f>
        <v>C36410</v>
      </c>
      <c r="E126" s="87" t="str">
        <f>IF(A126="   ","   ",IF(A126='2b.  Complex Form Data Entry'!$G$21,'2b.  Complex Form Data Entry'!K$21,IF(A126='2b.  Complex Form Data Entry'!$G$22,'2b.  Complex Form Data Entry'!K$22,IF(A126='2b.  Complex Form Data Entry'!$G$23,'2b.  Complex Form Data Entry'!K$23,IF(A126='2b.  Complex Form Data Entry'!$G$24,'2b.  Complex Form Data Entry'!$K$24,IF(A126='2b.  Complex Form Data Entry'!G$25,'2b.  Complex Form Data Entry'!K$25,IF(A126='2b.  Complex Form Data Entry'!G$26,'2b.  Complex Form Data Entry'!K$26,"   ")))))))</f>
        <v>DOT</v>
      </c>
      <c r="F126" s="162">
        <f>IF(A126="   ","   ",IF(A126='2b.  Complex Form Data Entry'!$G$21,'2b.  Complex Form Data Entry'!L$21,IF(A126='2b.  Complex Form Data Entry'!$G$22,'2b.  Complex Form Data Entry'!L$22,IF(A126='2b.  Complex Form Data Entry'!$G$23,'2b.  Complex Form Data Entry'!L$23,IF(A126='2b.  Complex Form Data Entry'!$G$24,'2b.  Complex Form Data Entry'!$L$24,IF(A126='2b.  Complex Form Data Entry'!G$25,'2b.  Complex Form Data Entry'!L$25,IF(A126='2b.  Complex Form Data Entry'!G$26,'2b.  Complex Form Data Entry'!L$26,"   ")))))))</f>
        <v>3641</v>
      </c>
      <c r="G126" s="88" t="str">
        <f>IF('2b.  Complex Form Data Entry'!C169="","   ",'2b.  Complex Form Data Entry'!D169)</f>
        <v>1128646</v>
      </c>
      <c r="H126" s="184" t="str">
        <f>IF('2b.  Complex Form Data Entry'!E169=0,"  ",'2b.  Complex Form Data Entry'!E169)</f>
        <v>Relocation of traction power substation.</v>
      </c>
      <c r="I126" s="295"/>
      <c r="J126" s="80">
        <f>'2b.  Complex Form Data Entry'!G169</f>
        <v>9700000</v>
      </c>
      <c r="K126" s="80">
        <f>'2b.  Complex Form Data Entry'!H169</f>
        <v>0</v>
      </c>
      <c r="L126" s="291">
        <f t="shared" si="32"/>
        <v>9700000</v>
      </c>
      <c r="O126" s="287"/>
      <c r="P126" s="287"/>
      <c r="Q126" s="287"/>
      <c r="R126" s="479">
        <f>L54</f>
        <v>9700000</v>
      </c>
      <c r="S126" s="480"/>
      <c r="T126" s="42"/>
    </row>
    <row r="127" spans="1:20" ht="14.7" customHeight="1">
      <c r="A127" s="96" t="str">
        <f>IF('2b.  Complex Form Data Entry'!C170="","   ",'2b.  Complex Form Data Entry'!C170)</f>
        <v>Metro Transit Capital Fund</v>
      </c>
      <c r="B127" s="73"/>
      <c r="C127" s="73"/>
      <c r="D127" s="162" t="str">
        <f>IF(A127="   ","   ",IF(A127='2b.  Complex Form Data Entry'!$G$21,'2b.  Complex Form Data Entry'!J$21,IF(A127='2b.  Complex Form Data Entry'!$G$22,'2b.  Complex Form Data Entry'!J$22,IF(A127='2b.  Complex Form Data Entry'!$G$23,'2b.  Complex Form Data Entry'!J$23,IF(A127='2b.  Complex Form Data Entry'!$G$24,'2b.  Complex Form Data Entry'!$J$24,IF(A127='2b.  Complex Form Data Entry'!$G$25,'2b.  Complex Form Data Entry'!J$25,IF(A127='2b.  Complex Form Data Entry'!$G$26,'2b.  Complex Form Data Entry'!J$26,"   ")))))))</f>
        <v>C36410</v>
      </c>
      <c r="E127" s="87" t="str">
        <f>IF(A127="   ","   ",IF(A127='2b.  Complex Form Data Entry'!$G$21,'2b.  Complex Form Data Entry'!K$21,IF(A127='2b.  Complex Form Data Entry'!$G$22,'2b.  Complex Form Data Entry'!K$22,IF(A127='2b.  Complex Form Data Entry'!$G$23,'2b.  Complex Form Data Entry'!K$23,IF(A127='2b.  Complex Form Data Entry'!$G$24,'2b.  Complex Form Data Entry'!$K$24,IF(A127='2b.  Complex Form Data Entry'!G$25,'2b.  Complex Form Data Entry'!K$25,IF(A127='2b.  Complex Form Data Entry'!G$26,'2b.  Complex Form Data Entry'!K$26,"   ")))))))</f>
        <v>DOT</v>
      </c>
      <c r="F127" s="162">
        <f>IF(A127="   ","   ",IF(A127='2b.  Complex Form Data Entry'!$G$21,'2b.  Complex Form Data Entry'!L$21,IF(A127='2b.  Complex Form Data Entry'!$G$22,'2b.  Complex Form Data Entry'!L$22,IF(A127='2b.  Complex Form Data Entry'!$G$23,'2b.  Complex Form Data Entry'!L$23,IF(A127='2b.  Complex Form Data Entry'!$G$24,'2b.  Complex Form Data Entry'!$L$24,IF(A127='2b.  Complex Form Data Entry'!G$25,'2b.  Complex Form Data Entry'!L$25,IF(A127='2b.  Complex Form Data Entry'!G$26,'2b.  Complex Form Data Entry'!L$26,"   ")))))))</f>
        <v>3641</v>
      </c>
      <c r="G127" s="88" t="str">
        <f>IF('2b.  Complex Form Data Entry'!C170="","   ",'2b.  Complex Form Data Entry'!D170)</f>
        <v>1128656</v>
      </c>
      <c r="H127" s="184" t="str">
        <f>IF('2b.  Complex Form Data Entry'!E170=0,"  ",'2b.  Complex Form Data Entry'!E170)</f>
        <v>Relocation of Sound Transit and Metro Transit equipment from DSTT.</v>
      </c>
      <c r="I127" s="295"/>
      <c r="J127" s="80">
        <f>'2b.  Complex Form Data Entry'!G170</f>
        <v>0</v>
      </c>
      <c r="K127" s="80">
        <f>'2b.  Complex Form Data Entry'!H170</f>
        <v>2699896</v>
      </c>
      <c r="L127" s="291">
        <f t="shared" si="32"/>
        <v>2699896</v>
      </c>
      <c r="O127" s="287"/>
      <c r="P127" s="287"/>
      <c r="Q127" s="287"/>
      <c r="R127" s="479">
        <f>L64</f>
        <v>6700000</v>
      </c>
      <c r="S127" s="480"/>
      <c r="T127" s="42"/>
    </row>
    <row r="128" spans="1:20" ht="28.65" customHeight="1" hidden="1">
      <c r="A128" s="96" t="str">
        <f>IF('2b.  Complex Form Data Entry'!C171="","   ",'2b.  Complex Form Data Entry'!C171)</f>
        <v xml:space="preserve">   </v>
      </c>
      <c r="B128" s="73"/>
      <c r="C128" s="73"/>
      <c r="D128" s="162" t="str">
        <f>IF(A128="   ","   ",IF(A128='2b.  Complex Form Data Entry'!$G$21,'2b.  Complex Form Data Entry'!J$21,IF(A128='2b.  Complex Form Data Entry'!$G$22,'2b.  Complex Form Data Entry'!J$22,IF(A128='2b.  Complex Form Data Entry'!$G$23,'2b.  Complex Form Data Entry'!J$23,IF(A128='2b.  Complex Form Data Entry'!$G$24,'2b.  Complex Form Data Entry'!$J$24,IF(A128='2b.  Complex Form Data Entry'!$G$25,'2b.  Complex Form Data Entry'!J$25,IF(A128='2b.  Complex Form Data Entry'!$G$26,'2b.  Complex Form Data Entry'!J$26,"   ")))))))</f>
        <v xml:space="preserve">   </v>
      </c>
      <c r="E128" s="87" t="str">
        <f>IF(A128="   ","   ",IF(A128='2b.  Complex Form Data Entry'!$G$21,'2b.  Complex Form Data Entry'!K$21,IF(A128='2b.  Complex Form Data Entry'!$G$22,'2b.  Complex Form Data Entry'!K$22,IF(A128='2b.  Complex Form Data Entry'!$G$23,'2b.  Complex Form Data Entry'!K$23,IF(A128='2b.  Complex Form Data Entry'!$G$24,'2b.  Complex Form Data Entry'!$K$24,IF(A128='2b.  Complex Form Data Entry'!G$25,'2b.  Complex Form Data Entry'!K$25,IF(A128='2b.  Complex Form Data Entry'!G$26,'2b.  Complex Form Data Entry'!K$26,"   ")))))))</f>
        <v xml:space="preserve">   </v>
      </c>
      <c r="F128" s="162" t="str">
        <f>IF(A128="   ","   ",IF(A128='2b.  Complex Form Data Entry'!$G$21,'2b.  Complex Form Data Entry'!L$21,IF(A128='2b.  Complex Form Data Entry'!$G$22,'2b.  Complex Form Data Entry'!L$22,IF(A128='2b.  Complex Form Data Entry'!$G$23,'2b.  Complex Form Data Entry'!L$23,IF(A128='2b.  Complex Form Data Entry'!$G$24,'2b.  Complex Form Data Entry'!$L$24,IF(A128='2b.  Complex Form Data Entry'!G$25,'2b.  Complex Form Data Entry'!L$25,IF(A128='2b.  Complex Form Data Entry'!G$26,'2b.  Complex Form Data Entry'!L$26,"   ")))))))</f>
        <v xml:space="preserve">   </v>
      </c>
      <c r="G128" s="88" t="str">
        <f>IF('2b.  Complex Form Data Entry'!C171="","   ",'2b.  Complex Form Data Entry'!D171)</f>
        <v xml:space="preserve">   </v>
      </c>
      <c r="H128" s="184" t="str">
        <f>IF('2b.  Complex Form Data Entry'!E171=0,"  ",'2b.  Complex Form Data Entry'!E171)</f>
        <v xml:space="preserve">  </v>
      </c>
      <c r="I128" s="295"/>
      <c r="J128" s="80">
        <f>'2b.  Complex Form Data Entry'!G171</f>
        <v>0</v>
      </c>
      <c r="K128" s="80">
        <f>'2b.  Complex Form Data Entry'!H171</f>
        <v>0</v>
      </c>
      <c r="L128" s="291">
        <v>0</v>
      </c>
      <c r="O128" s="287"/>
      <c r="P128" s="287"/>
      <c r="Q128" s="287"/>
      <c r="R128" s="479">
        <f>'2b.  Complex Form Data Entry'!J171</f>
        <v>0</v>
      </c>
      <c r="S128" s="480"/>
      <c r="T128" s="42"/>
    </row>
    <row r="129" spans="1:20" ht="14.4" customHeight="1">
      <c r="A129" s="96" t="str">
        <f>IF('2b.  Complex Form Data Entry'!C172="","   ",'2b.  Complex Form Data Entry'!C172)</f>
        <v>Metro Transit Capital Fund</v>
      </c>
      <c r="B129" s="73"/>
      <c r="C129" s="73"/>
      <c r="D129" s="162" t="str">
        <f>IF(A129="   ","   ",IF(A129='2b.  Complex Form Data Entry'!$G$21,'2b.  Complex Form Data Entry'!J$21,IF(A129='2b.  Complex Form Data Entry'!$G$22,'2b.  Complex Form Data Entry'!J$22,IF(A129='2b.  Complex Form Data Entry'!$G$23,'2b.  Complex Form Data Entry'!J$23,IF(A129='2b.  Complex Form Data Entry'!$G$24,'2b.  Complex Form Data Entry'!$J$24,IF(A129='2b.  Complex Form Data Entry'!$G$25,'2b.  Complex Form Data Entry'!J$25,IF(A129='2b.  Complex Form Data Entry'!$G$26,'2b.  Complex Form Data Entry'!J$26,"   ")))))))</f>
        <v>C36410</v>
      </c>
      <c r="E129" s="87" t="str">
        <f>IF(A129="   ","   ",IF(A129='2b.  Complex Form Data Entry'!$G$21,'2b.  Complex Form Data Entry'!K$21,IF(A129='2b.  Complex Form Data Entry'!$G$22,'2b.  Complex Form Data Entry'!K$22,IF(A129='2b.  Complex Form Data Entry'!$G$23,'2b.  Complex Form Data Entry'!K$23,IF(A129='2b.  Complex Form Data Entry'!$G$24,'2b.  Complex Form Data Entry'!$K$24,IF(A129='2b.  Complex Form Data Entry'!G$25,'2b.  Complex Form Data Entry'!K$25,IF(A129='2b.  Complex Form Data Entry'!G$26,'2b.  Complex Form Data Entry'!K$26,"   ")))))))</f>
        <v>DOT</v>
      </c>
      <c r="F129" s="162">
        <f>IF(A129="   ","   ",IF(A129='2b.  Complex Form Data Entry'!$G$21,'2b.  Complex Form Data Entry'!L$21,IF(A129='2b.  Complex Form Data Entry'!$G$22,'2b.  Complex Form Data Entry'!L$22,IF(A129='2b.  Complex Form Data Entry'!$G$23,'2b.  Complex Form Data Entry'!L$23,IF(A129='2b.  Complex Form Data Entry'!$G$24,'2b.  Complex Form Data Entry'!$L$24,IF(A129='2b.  Complex Form Data Entry'!G$25,'2b.  Complex Form Data Entry'!L$25,IF(A129='2b.  Complex Form Data Entry'!G$26,'2b.  Complex Form Data Entry'!L$26,"   ")))))))</f>
        <v>3641</v>
      </c>
      <c r="G129" s="88">
        <f>IF('2b.  Complex Form Data Entry'!C172="","   ",'2b.  Complex Form Data Entry'!D172)</f>
        <v>1131130</v>
      </c>
      <c r="H129" s="184" t="str">
        <f>IF('2b.  Complex Form Data Entry'!E172=0,"  ",'2b.  Complex Form Data Entry'!E172)</f>
        <v>Planning and construction costs for the access ramp.</v>
      </c>
      <c r="I129" s="295"/>
      <c r="J129" s="80">
        <f>'2b.  Complex Form Data Entry'!G172</f>
        <v>0</v>
      </c>
      <c r="K129" s="80">
        <v>4000000</v>
      </c>
      <c r="L129" s="291">
        <v>4000000</v>
      </c>
      <c r="O129" s="287"/>
      <c r="P129" s="287"/>
      <c r="Q129" s="287"/>
      <c r="R129" s="479">
        <f>L84+O84+R84</f>
        <v>4000000</v>
      </c>
      <c r="S129" s="480"/>
      <c r="T129" s="42"/>
    </row>
    <row r="130" spans="1:20" ht="13.8">
      <c r="A130" s="96" t="str">
        <f>IF('2b.  Complex Form Data Entry'!C173="","   ",'2b.  Complex Form Data Entry'!C173)</f>
        <v xml:space="preserve">   </v>
      </c>
      <c r="B130" s="73"/>
      <c r="C130" s="73"/>
      <c r="D130" s="162" t="str">
        <f>IF(A130="   ","   ",IF(A130='2b.  Complex Form Data Entry'!$G$21,'2b.  Complex Form Data Entry'!J$21,IF(A130='2b.  Complex Form Data Entry'!$G$22,'2b.  Complex Form Data Entry'!J$22,IF(A130='2b.  Complex Form Data Entry'!$G$23,'2b.  Complex Form Data Entry'!J$23,IF(A130='2b.  Complex Form Data Entry'!$G$24,'2b.  Complex Form Data Entry'!$J$24,IF(A130='2b.  Complex Form Data Entry'!$G$25,'2b.  Complex Form Data Entry'!J$25,IF(A130='2b.  Complex Form Data Entry'!$G$26,'2b.  Complex Form Data Entry'!J$26,"   ")))))))</f>
        <v xml:space="preserve">   </v>
      </c>
      <c r="E130" s="87" t="str">
        <f>IF(A130="   ","   ",IF(A130='2b.  Complex Form Data Entry'!$G$21,'2b.  Complex Form Data Entry'!K$21,IF(A130='2b.  Complex Form Data Entry'!$G$22,'2b.  Complex Form Data Entry'!K$22,IF(A130='2b.  Complex Form Data Entry'!$G$23,'2b.  Complex Form Data Entry'!K$23,IF(A130='2b.  Complex Form Data Entry'!$G$24,'2b.  Complex Form Data Entry'!$K$24,IF(A130='2b.  Complex Form Data Entry'!G$25,'2b.  Complex Form Data Entry'!K$25,IF(A130='2b.  Complex Form Data Entry'!G$26,'2b.  Complex Form Data Entry'!K$26,"   ")))))))</f>
        <v xml:space="preserve">   </v>
      </c>
      <c r="F130" s="162" t="str">
        <f>IF(A130="   ","   ",IF(A130='2b.  Complex Form Data Entry'!$G$21,'2b.  Complex Form Data Entry'!L$21,IF(A130='2b.  Complex Form Data Entry'!$G$22,'2b.  Complex Form Data Entry'!L$22,IF(A130='2b.  Complex Form Data Entry'!$G$23,'2b.  Complex Form Data Entry'!L$23,IF(A130='2b.  Complex Form Data Entry'!$G$24,'2b.  Complex Form Data Entry'!$L$24,IF(A130='2b.  Complex Form Data Entry'!G$25,'2b.  Complex Form Data Entry'!L$25,IF(A130='2b.  Complex Form Data Entry'!G$26,'2b.  Complex Form Data Entry'!L$26,"   ")))))))</f>
        <v xml:space="preserve">   </v>
      </c>
      <c r="G130" s="88" t="str">
        <f>IF('2b.  Complex Form Data Entry'!C173="","   ",'2b.  Complex Form Data Entry'!D173)</f>
        <v xml:space="preserve">   </v>
      </c>
      <c r="H130" s="184" t="str">
        <f>IF('2b.  Complex Form Data Entry'!E173=0,"  ",'2b.  Complex Form Data Entry'!E173)</f>
        <v xml:space="preserve">  </v>
      </c>
      <c r="I130" s="295"/>
      <c r="J130" s="80">
        <f>'2b.  Complex Form Data Entry'!G173</f>
        <v>0</v>
      </c>
      <c r="K130" s="80">
        <f>'2b.  Complex Form Data Entry'!H173</f>
        <v>0</v>
      </c>
      <c r="L130" s="291">
        <f t="shared" si="32"/>
        <v>0</v>
      </c>
      <c r="O130" s="287"/>
      <c r="P130" s="287"/>
      <c r="Q130" s="287"/>
      <c r="R130" s="479">
        <f>'2b.  Complex Form Data Entry'!J173</f>
        <v>0</v>
      </c>
      <c r="S130" s="480"/>
      <c r="T130" s="42"/>
    </row>
    <row r="131" spans="1:20" ht="14.4" thickBot="1">
      <c r="A131" s="6"/>
      <c r="B131" s="7"/>
      <c r="C131" s="274" t="s">
        <v>4</v>
      </c>
      <c r="D131" s="43"/>
      <c r="E131" s="43"/>
      <c r="F131" s="43"/>
      <c r="G131" s="43"/>
      <c r="H131" s="190"/>
      <c r="I131" s="296"/>
      <c r="J131" s="64">
        <f>SUM(J125:J130)</f>
        <v>9700000</v>
      </c>
      <c r="K131" s="64">
        <f>SUM(K125:K130)</f>
        <v>6699896</v>
      </c>
      <c r="L131" s="292">
        <f t="shared" si="32"/>
        <v>16399896</v>
      </c>
      <c r="O131" s="288"/>
      <c r="P131" s="288"/>
      <c r="Q131" s="288"/>
      <c r="R131" s="481">
        <f>SUM(R125:S130)</f>
        <v>23200000</v>
      </c>
      <c r="S131" s="482"/>
      <c r="T131" s="42"/>
    </row>
    <row r="132" spans="1:20" ht="3" customHeight="1">
      <c r="A132" s="2"/>
      <c r="B132" s="2"/>
      <c r="C132" s="2"/>
      <c r="D132" s="2"/>
      <c r="E132" s="2"/>
      <c r="F132" s="2"/>
      <c r="G132" s="41"/>
      <c r="H132" s="41"/>
      <c r="I132" s="41"/>
      <c r="J132" s="42"/>
      <c r="K132" s="42"/>
      <c r="L132" s="42"/>
      <c r="M132" s="42"/>
      <c r="N132" s="42"/>
      <c r="O132" s="42"/>
      <c r="P132" s="42"/>
      <c r="Q132" s="42"/>
      <c r="R132" s="42"/>
      <c r="S132" s="42"/>
      <c r="T132" s="42"/>
    </row>
    <row r="133" spans="1:20" ht="13.8">
      <c r="A133" s="3" t="s">
        <v>30</v>
      </c>
      <c r="B133" s="3"/>
      <c r="C133" s="3"/>
      <c r="D133" s="3"/>
      <c r="E133" s="3"/>
      <c r="F133" s="3"/>
      <c r="G133" s="3"/>
      <c r="H133" s="3"/>
      <c r="I133" s="3"/>
      <c r="J133" s="4"/>
      <c r="K133" s="4"/>
      <c r="L133" s="4"/>
      <c r="M133" s="4"/>
      <c r="N133" s="4"/>
      <c r="O133" s="4"/>
      <c r="P133" s="4"/>
      <c r="Q133" s="4"/>
      <c r="R133" s="4"/>
      <c r="S133" s="5"/>
      <c r="T133" s="5"/>
    </row>
    <row r="134" spans="1:20" ht="15.45" customHeight="1">
      <c r="A134" s="299" t="s">
        <v>132</v>
      </c>
      <c r="B134" s="454" t="str">
        <f>IF('2b.  Complex Form Data Entry'!G39="Y","See note 5 below.",'2b.  Complex Form Data Entry'!D43)</f>
        <v>An NPV analysis was not performed because of the large degree of uncertainty associated with the potential revenues and costs for alternatives.</v>
      </c>
      <c r="C134" s="454"/>
      <c r="D134" s="454"/>
      <c r="E134" s="454"/>
      <c r="F134" s="454"/>
      <c r="G134" s="454"/>
      <c r="H134" s="454"/>
      <c r="I134" s="454"/>
      <c r="J134" s="454"/>
      <c r="K134" s="454"/>
      <c r="L134" s="454"/>
      <c r="M134" s="454"/>
      <c r="N134" s="454"/>
      <c r="O134" s="454"/>
      <c r="P134" s="454"/>
      <c r="Q134" s="454"/>
      <c r="R134" s="454"/>
      <c r="S134" s="454"/>
      <c r="T134" s="5"/>
    </row>
    <row r="135" spans="1:20" ht="13.8">
      <c r="A135" s="66" t="s">
        <v>111</v>
      </c>
      <c r="B135" s="470" t="s">
        <v>139</v>
      </c>
      <c r="C135" s="470"/>
      <c r="D135" s="470"/>
      <c r="E135" s="470"/>
      <c r="F135" s="470"/>
      <c r="G135" s="470"/>
      <c r="H135" s="470"/>
      <c r="I135" s="470"/>
      <c r="J135" s="470"/>
      <c r="K135" s="470"/>
      <c r="L135" s="470"/>
      <c r="M135" s="470"/>
      <c r="N135" s="470"/>
      <c r="O135" s="470"/>
      <c r="P135" s="470"/>
      <c r="Q135" s="470"/>
      <c r="R135" s="470"/>
      <c r="S135" s="470"/>
      <c r="T135" s="5"/>
    </row>
    <row r="136" spans="1:20" ht="14.25" customHeight="1">
      <c r="A136" s="67" t="s">
        <v>52</v>
      </c>
      <c r="B136" s="443" t="s">
        <v>115</v>
      </c>
      <c r="C136" s="443"/>
      <c r="D136" s="443"/>
      <c r="E136" s="443"/>
      <c r="F136" s="443"/>
      <c r="G136" s="443"/>
      <c r="H136" s="443"/>
      <c r="I136" s="443"/>
      <c r="J136" s="443"/>
      <c r="K136" s="443"/>
      <c r="L136" s="443"/>
      <c r="M136" s="443"/>
      <c r="N136" s="443"/>
      <c r="O136" s="443"/>
      <c r="P136" s="443"/>
      <c r="Q136" s="443"/>
      <c r="R136" s="443"/>
      <c r="S136" s="443"/>
      <c r="T136" s="5"/>
    </row>
    <row r="137" spans="1:20" ht="16.5" customHeight="1">
      <c r="A137" s="67" t="s">
        <v>112</v>
      </c>
      <c r="B137" s="440" t="str">
        <f>IF(OR('2b.  Complex Form Data Entry'!D52="Y",'2b.  Complex Form Data Entry'!D54="Y"),CONCATENATE('2b.  Complex Form Data Entry'!E216,'2b.  Complex Form Data Entry'!E217),"This transaction does not require the use of fund balance or reallocated grant funding.")</f>
        <v>This transaction does not require the use of fund balance or reallocated grant funding.</v>
      </c>
      <c r="C137" s="440"/>
      <c r="D137" s="440"/>
      <c r="E137" s="440"/>
      <c r="F137" s="440"/>
      <c r="G137" s="440"/>
      <c r="H137" s="440"/>
      <c r="I137" s="440"/>
      <c r="J137" s="440"/>
      <c r="K137" s="440"/>
      <c r="L137" s="440"/>
      <c r="M137" s="440"/>
      <c r="N137" s="440"/>
      <c r="O137" s="440"/>
      <c r="P137" s="440"/>
      <c r="Q137" s="440"/>
      <c r="R137" s="440"/>
      <c r="S137" s="440"/>
      <c r="T137" s="5"/>
    </row>
    <row r="138" spans="1:20" ht="14.25" customHeight="1">
      <c r="A138" s="65" t="s">
        <v>113</v>
      </c>
      <c r="B138" s="456" t="str">
        <f>IF('2b.  Complex Form Data Entry'!F177="Y",'2b.  Complex Form Data Entry'!C207,CONCATENATE('2b.  Complex Form Data Entry'!C208,'2b.  Complex Form Data Entry'!C209,'2b.  Complex Form Data Entry'!C210,'2b.  Complex Form Data Entry'!C211,'2b.  Complex Form Data Entry'!C212))</f>
        <v>The transaction involves the sale of a property. No long-term expenditures requiring resource backing are associated with this transaction.</v>
      </c>
      <c r="C138" s="456"/>
      <c r="D138" s="456"/>
      <c r="E138" s="456"/>
      <c r="F138" s="456"/>
      <c r="G138" s="456"/>
      <c r="H138" s="456"/>
      <c r="I138" s="456"/>
      <c r="J138" s="456"/>
      <c r="K138" s="456"/>
      <c r="L138" s="456"/>
      <c r="M138" s="456"/>
      <c r="N138" s="456"/>
      <c r="O138" s="456"/>
      <c r="P138" s="456"/>
      <c r="Q138" s="456"/>
      <c r="R138" s="456"/>
      <c r="S138" s="456"/>
      <c r="T138" s="5"/>
    </row>
    <row r="139" spans="1:20" ht="16.5" customHeight="1">
      <c r="A139" s="65" t="s">
        <v>117</v>
      </c>
      <c r="B139" s="457" t="s">
        <v>110</v>
      </c>
      <c r="C139" s="457"/>
      <c r="D139" s="457"/>
      <c r="E139" s="457"/>
      <c r="F139" s="457"/>
      <c r="G139" s="457"/>
      <c r="H139" s="457"/>
      <c r="I139" s="457"/>
      <c r="J139" s="457"/>
      <c r="K139" s="457"/>
      <c r="L139" s="457"/>
      <c r="M139" s="457"/>
      <c r="N139" s="457"/>
      <c r="O139" s="457"/>
      <c r="P139" s="457"/>
      <c r="Q139" s="457"/>
      <c r="R139" s="457"/>
      <c r="S139" s="457"/>
      <c r="T139" s="5"/>
    </row>
    <row r="140" spans="1:19" ht="15" customHeight="1">
      <c r="A140" s="65"/>
      <c r="B140" s="455" t="str">
        <f>'2b.  Complex Form Data Entry'!C185</f>
        <v>- Hotel/motel tax revenue is expected to increase as a result of this transaction; however, the increase cannot be quantified at this time.</v>
      </c>
      <c r="C140" s="455"/>
      <c r="D140" s="455"/>
      <c r="E140" s="455"/>
      <c r="F140" s="455"/>
      <c r="G140" s="455"/>
      <c r="H140" s="455"/>
      <c r="I140" s="455"/>
      <c r="J140" s="455"/>
      <c r="K140" s="455"/>
      <c r="L140" s="455"/>
      <c r="M140" s="455"/>
      <c r="N140" s="455"/>
      <c r="O140" s="455"/>
      <c r="P140" s="455"/>
      <c r="Q140" s="455"/>
      <c r="R140" s="455"/>
      <c r="S140" s="455"/>
    </row>
    <row r="141" spans="1:19" ht="27.6" customHeight="1">
      <c r="A141" s="65"/>
      <c r="B141" s="458" t="str">
        <f>'2b.  Complex Form Data Entry'!C186</f>
        <v>- The transaction is structured as an installment sale involving an initial payment to Metro of $20 million in 2017, interest-only payments of 1% annually from closing (estimated as 7/1/2017) through 2023, and growing annual payments starting in 2024 (4.25% interest and 3% escalation), with payments starting at about $6.8 million and growing to about $13.8 million.  Of the anticipated property sale revenues, approximately $6 million must be set aside for future use on a Federal Transit Authority approved project.  This amount is shown in the capital designated revenue reserve in the financial plan.</v>
      </c>
      <c r="C141" s="458"/>
      <c r="D141" s="458"/>
      <c r="E141" s="458"/>
      <c r="F141" s="458"/>
      <c r="G141" s="458"/>
      <c r="H141" s="458"/>
      <c r="I141" s="458"/>
      <c r="J141" s="458"/>
      <c r="K141" s="458"/>
      <c r="L141" s="458"/>
      <c r="M141" s="458"/>
      <c r="N141" s="458"/>
      <c r="O141" s="458"/>
      <c r="P141" s="458"/>
      <c r="Q141" s="458"/>
      <c r="R141" s="458"/>
      <c r="S141" s="458"/>
    </row>
    <row r="142" spans="1:19" ht="26.4" customHeight="1">
      <c r="A142" s="65"/>
      <c r="B142" s="458" t="str">
        <f>'2b.  Complex Form Data Entry'!C187</f>
        <v>- The total estimated cost of relocating equipment in DSTT is provided above; however, the allocation of this cost to Sound Transit and Metro is still under negotiation.  While Metro anticipates a cost sharing reimbursement for some portion of this project from Sound Transit, Metro is requesting appropriation authority of the total project cost in order to contract for the work to be done.</v>
      </c>
      <c r="C142" s="458"/>
      <c r="D142" s="458"/>
      <c r="E142" s="458"/>
      <c r="F142" s="458"/>
      <c r="G142" s="458"/>
      <c r="H142" s="458"/>
      <c r="I142" s="458"/>
      <c r="J142" s="458"/>
      <c r="K142" s="458"/>
      <c r="L142" s="458"/>
      <c r="M142" s="458"/>
      <c r="N142" s="458"/>
      <c r="O142" s="458"/>
      <c r="P142" s="458"/>
      <c r="Q142" s="458"/>
      <c r="R142" s="458"/>
      <c r="S142" s="458"/>
    </row>
    <row r="143" spans="1:19" ht="2.4" customHeight="1">
      <c r="A143" s="65"/>
      <c r="B143" s="455">
        <f>'2b.  Complex Form Data Entry'!C188</f>
        <v>0</v>
      </c>
      <c r="C143" s="455"/>
      <c r="D143" s="455"/>
      <c r="E143" s="455"/>
      <c r="F143" s="455"/>
      <c r="G143" s="455"/>
      <c r="H143" s="455"/>
      <c r="I143" s="455"/>
      <c r="J143" s="455"/>
      <c r="K143" s="455"/>
      <c r="L143" s="455"/>
      <c r="M143" s="455"/>
      <c r="N143" s="455"/>
      <c r="O143" s="455"/>
      <c r="P143" s="455"/>
      <c r="Q143" s="455"/>
      <c r="R143" s="455"/>
      <c r="S143" s="455"/>
    </row>
    <row r="144" spans="1:20" ht="13.2" customHeight="1">
      <c r="A144" s="65"/>
      <c r="B144" s="455" t="str">
        <f>'2b.  Complex Form Data Entry'!C189</f>
        <v xml:space="preserve">- Currently, Metro allocates a portion of the agency overhead and other costs (security, service quality) to DSTT operations, which are then reimbursed by Sound Transit.  When Metro removes buses from the tunnel, some of these costs go away, but other costs accrue entirely to Metro.  The net impact is an increase in Metro operating costs. </v>
      </c>
      <c r="C144" s="455"/>
      <c r="D144" s="455"/>
      <c r="E144" s="455"/>
      <c r="F144" s="455"/>
      <c r="G144" s="455"/>
      <c r="H144" s="455"/>
      <c r="I144" s="455"/>
      <c r="J144" s="455"/>
      <c r="K144" s="455"/>
      <c r="L144" s="455"/>
      <c r="M144" s="455"/>
      <c r="N144" s="455"/>
      <c r="O144" s="455"/>
      <c r="P144" s="455"/>
      <c r="Q144" s="455"/>
      <c r="R144" s="455"/>
      <c r="S144" s="455"/>
      <c r="T144" s="5"/>
    </row>
    <row r="145" spans="1:20" ht="1.8" customHeight="1">
      <c r="A145" s="65"/>
      <c r="B145" s="459"/>
      <c r="C145" s="459"/>
      <c r="D145" s="459"/>
      <c r="E145" s="459"/>
      <c r="F145" s="459"/>
      <c r="G145" s="459"/>
      <c r="H145" s="459"/>
      <c r="I145" s="459"/>
      <c r="J145" s="459"/>
      <c r="K145" s="459"/>
      <c r="L145" s="459"/>
      <c r="M145" s="459"/>
      <c r="N145" s="459"/>
      <c r="O145" s="459"/>
      <c r="P145" s="459"/>
      <c r="Q145" s="459"/>
      <c r="R145" s="459"/>
      <c r="S145" s="459"/>
      <c r="T145" s="5"/>
    </row>
    <row r="146" spans="1:19" ht="15.45" customHeight="1">
      <c r="A146" s="65"/>
      <c r="B146" s="459" t="s">
        <v>196</v>
      </c>
      <c r="C146" s="455"/>
      <c r="D146" s="455"/>
      <c r="E146" s="455"/>
      <c r="F146" s="455"/>
      <c r="G146" s="455"/>
      <c r="H146" s="455"/>
      <c r="I146" s="455"/>
      <c r="J146" s="455"/>
      <c r="K146" s="455"/>
      <c r="L146" s="455"/>
      <c r="M146" s="455"/>
      <c r="N146" s="455"/>
      <c r="O146" s="455"/>
      <c r="P146" s="455"/>
      <c r="Q146" s="455"/>
      <c r="R146" s="455"/>
      <c r="S146" s="455"/>
    </row>
    <row r="147" spans="1:19" ht="13.2" customHeight="1">
      <c r="A147" s="48" t="s">
        <v>194</v>
      </c>
      <c r="B147" s="460" t="s">
        <v>195</v>
      </c>
      <c r="C147" s="458"/>
      <c r="D147" s="458"/>
      <c r="E147" s="458"/>
      <c r="F147" s="458"/>
      <c r="G147" s="458"/>
      <c r="H147" s="458"/>
      <c r="I147" s="458"/>
      <c r="J147" s="458"/>
      <c r="K147" s="458"/>
      <c r="L147" s="458"/>
      <c r="M147" s="458"/>
      <c r="N147" s="458"/>
      <c r="O147" s="458"/>
      <c r="P147" s="458"/>
      <c r="Q147" s="458"/>
      <c r="R147" s="458"/>
      <c r="S147" s="458"/>
    </row>
    <row r="148" spans="1:19" ht="13.8">
      <c r="A148" s="67" t="s">
        <v>205</v>
      </c>
      <c r="B148" s="455" t="s">
        <v>206</v>
      </c>
      <c r="C148" s="455"/>
      <c r="D148" s="455"/>
      <c r="E148" s="455"/>
      <c r="F148" s="455"/>
      <c r="G148" s="455"/>
      <c r="H148" s="455"/>
      <c r="I148" s="455"/>
      <c r="J148" s="455"/>
      <c r="K148" s="455"/>
      <c r="L148" s="455"/>
      <c r="M148" s="455"/>
      <c r="N148" s="455"/>
      <c r="O148" s="455"/>
      <c r="P148" s="455"/>
      <c r="Q148" s="455"/>
      <c r="R148" s="455"/>
      <c r="S148" s="455"/>
    </row>
    <row r="149" spans="1:19" ht="13.8">
      <c r="A149" s="67"/>
      <c r="B149" s="455"/>
      <c r="C149" s="455"/>
      <c r="D149" s="455"/>
      <c r="E149" s="455"/>
      <c r="F149" s="455"/>
      <c r="G149" s="455"/>
      <c r="H149" s="455"/>
      <c r="I149" s="455"/>
      <c r="J149" s="455"/>
      <c r="K149" s="455"/>
      <c r="L149" s="455"/>
      <c r="M149" s="455"/>
      <c r="N149" s="455"/>
      <c r="O149" s="455"/>
      <c r="P149" s="455"/>
      <c r="Q149" s="455"/>
      <c r="R149" s="455"/>
      <c r="S149" s="455"/>
    </row>
    <row r="150" spans="1:6" ht="13.8">
      <c r="A150" s="67"/>
      <c r="D150" s="51"/>
      <c r="E150" s="48"/>
      <c r="F150" s="48"/>
    </row>
    <row r="151" spans="4:6" ht="12.75">
      <c r="D151" s="51"/>
      <c r="E151" s="48"/>
      <c r="F151" s="48"/>
    </row>
    <row r="152" spans="3:6" ht="12.75">
      <c r="C152" s="50"/>
      <c r="D152" s="51"/>
      <c r="E152" s="48"/>
      <c r="F152" s="48"/>
    </row>
  </sheetData>
  <mergeCells count="105">
    <mergeCell ref="A86:C86"/>
    <mergeCell ref="B90:C90"/>
    <mergeCell ref="B91:C91"/>
    <mergeCell ref="B92:C92"/>
    <mergeCell ref="B93:C93"/>
    <mergeCell ref="R130:S130"/>
    <mergeCell ref="R131:S131"/>
    <mergeCell ref="R125:S125"/>
    <mergeCell ref="R126:S126"/>
    <mergeCell ref="R127:S127"/>
    <mergeCell ref="R128:S128"/>
    <mergeCell ref="R129:S129"/>
    <mergeCell ref="B102:C102"/>
    <mergeCell ref="O17:S17"/>
    <mergeCell ref="L123:L124"/>
    <mergeCell ref="R123:S124"/>
    <mergeCell ref="B135:S135"/>
    <mergeCell ref="B103:C103"/>
    <mergeCell ref="A119:S119"/>
    <mergeCell ref="A36:C36"/>
    <mergeCell ref="A46:C46"/>
    <mergeCell ref="A56:C56"/>
    <mergeCell ref="A66:C66"/>
    <mergeCell ref="A76:C76"/>
    <mergeCell ref="B53:C53"/>
    <mergeCell ref="B60:C60"/>
    <mergeCell ref="B61:C61"/>
    <mergeCell ref="A114:B114"/>
    <mergeCell ref="C114:J114"/>
    <mergeCell ref="A113:B113"/>
    <mergeCell ref="C113:J113"/>
    <mergeCell ref="B62:C62"/>
    <mergeCell ref="A17:D17"/>
    <mergeCell ref="E17:G17"/>
    <mergeCell ref="H17:M17"/>
    <mergeCell ref="B80:C80"/>
    <mergeCell ref="B81:C81"/>
    <mergeCell ref="B149:S149"/>
    <mergeCell ref="B138:S138"/>
    <mergeCell ref="B139:S139"/>
    <mergeCell ref="B140:S140"/>
    <mergeCell ref="B141:S141"/>
    <mergeCell ref="B142:S142"/>
    <mergeCell ref="B143:S143"/>
    <mergeCell ref="B144:S144"/>
    <mergeCell ref="B146:S146"/>
    <mergeCell ref="B147:S147"/>
    <mergeCell ref="B148:S148"/>
    <mergeCell ref="B145:S145"/>
    <mergeCell ref="B137:S137"/>
    <mergeCell ref="H123:H124"/>
    <mergeCell ref="B136:S136"/>
    <mergeCell ref="A108:S108"/>
    <mergeCell ref="A110:S110"/>
    <mergeCell ref="A111:S111"/>
    <mergeCell ref="A123:C124"/>
    <mergeCell ref="D123:D124"/>
    <mergeCell ref="E123:E124"/>
    <mergeCell ref="F123:F124"/>
    <mergeCell ref="G123:G124"/>
    <mergeCell ref="C117:S118"/>
    <mergeCell ref="A115:B115"/>
    <mergeCell ref="F115:G115"/>
    <mergeCell ref="L115:O115"/>
    <mergeCell ref="A116:B116"/>
    <mergeCell ref="F116:G116"/>
    <mergeCell ref="L116:O116"/>
    <mergeCell ref="A112:B112"/>
    <mergeCell ref="C112:S112"/>
    <mergeCell ref="B134:S134"/>
    <mergeCell ref="C6:J6"/>
    <mergeCell ref="A13:S13"/>
    <mergeCell ref="A15:S15"/>
    <mergeCell ref="A9:B9"/>
    <mergeCell ref="F9:G9"/>
    <mergeCell ref="L9:O9"/>
    <mergeCell ref="C10:S11"/>
    <mergeCell ref="A8:B8"/>
    <mergeCell ref="F8:G8"/>
    <mergeCell ref="C7:J7"/>
    <mergeCell ref="A7:B7"/>
    <mergeCell ref="B82:C82"/>
    <mergeCell ref="B100:C100"/>
    <mergeCell ref="B101:C101"/>
    <mergeCell ref="A96:C96"/>
    <mergeCell ref="A1:S1"/>
    <mergeCell ref="A3:S3"/>
    <mergeCell ref="A4:S4"/>
    <mergeCell ref="A5:B5"/>
    <mergeCell ref="C5:S5"/>
    <mergeCell ref="L8:O8"/>
    <mergeCell ref="A19:S19"/>
    <mergeCell ref="B40:C40"/>
    <mergeCell ref="B41:C41"/>
    <mergeCell ref="B42:C42"/>
    <mergeCell ref="B43:C43"/>
    <mergeCell ref="B50:C50"/>
    <mergeCell ref="B51:C51"/>
    <mergeCell ref="B52:C52"/>
    <mergeCell ref="B63:C63"/>
    <mergeCell ref="B70:C70"/>
    <mergeCell ref="B71:C71"/>
    <mergeCell ref="B72:C72"/>
    <mergeCell ref="B73:C73"/>
    <mergeCell ref="A6:B6"/>
  </mergeCells>
  <printOptions horizontalCentered="1"/>
  <pageMargins left="0.5" right="0.5" top="0.5" bottom="0.5" header="0.5" footer="0.25"/>
  <pageSetup fitToHeight="1" fitToWidth="1" horizontalDpi="600" verticalDpi="600" orientation="landscape" paperSize="17" scale="64" copies="2"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FEC08BF0467C843A2BD7D49334C7C66" ma:contentTypeVersion="12" ma:contentTypeDescription="" ma:contentTypeScope="" ma:versionID="5629077082d2c47de230c971c9e51b8a">
  <xsd:schema xmlns:xsd="http://www.w3.org/2001/XMLSchema" xmlns:xs="http://www.w3.org/2001/XMLSchema" xmlns:p="http://schemas.microsoft.com/office/2006/metadata/properties" xmlns:ns1="http://schemas.microsoft.com/sharepoint/v3" xmlns:ns2="308dc21f-8940-46b7-9ee9-f86b439897b1" xmlns:ns3="cc811197-5a73-4d86-a206-c117da05ddaa" targetNamespace="http://schemas.microsoft.com/office/2006/metadata/properties" ma:root="true" ma:fieldsID="dff222234c769d6faa2ac5b1b84963fa" ns1:_="" ns2:_="" ns3:_="">
    <xsd:import namespace="http://schemas.microsoft.com/sharepoint/v3"/>
    <xsd:import namespace="308dc21f-8940-46b7-9ee9-f86b439897b1"/>
    <xsd:import namespace="cc811197-5a73-4d86-a206-c117da05ddaa"/>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AssignedTo xmlns="http://schemas.microsoft.com/sharepoint/v3">
      <UserInfo>
        <DisplayName/>
        <AccountId xsi:nil="true"/>
        <AccountType/>
      </UserInfo>
    </AssignedTo>
    <Proposed_x002f_Passed_x0020__x0023__x003a_ xmlns="308dc21f-8940-46b7-9ee9-f86b439897b1" xsi:nil="true"/>
  </documentManagement>
</p:properties>
</file>

<file path=customXml/itemProps1.xml><?xml version="1.0" encoding="utf-8"?>
<ds:datastoreItem xmlns:ds="http://schemas.openxmlformats.org/officeDocument/2006/customXml" ds:itemID="{F438543D-0453-4FD0-B28E-2EB7DE5832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60F66F75-E298-49D7-923C-92FD04AD8C51}">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cc811197-5a73-4d86-a206-c117da05ddaa"/>
    <ds:schemaRef ds:uri="http://schemas.microsoft.com/sharepoint/v3"/>
    <ds:schemaRef ds:uri="308dc21f-8940-46b7-9ee9-f86b439897b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note-sale</dc:title>
  <dc:subject/>
  <dc:creator>Jos Mapranath</dc:creator>
  <cp:keywords/>
  <dc:description/>
  <cp:lastModifiedBy>De Wys, Shelley</cp:lastModifiedBy>
  <cp:lastPrinted>2017-01-23T23:30:13Z</cp:lastPrinted>
  <dcterms:created xsi:type="dcterms:W3CDTF">1999-06-02T23:29:55Z</dcterms:created>
  <dcterms:modified xsi:type="dcterms:W3CDTF">2017-03-01T21:25:11Z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f2d3e385-f5b8-4e4b-a55d-d83065a298b0</vt:lpwstr>
  </property>
  <property fmtid="{D5CDD505-2E9C-101B-9397-08002B2CF9AE}" pid="4" name="ContentTypeId">
    <vt:lpwstr>0x010100D03C1FEDB24A304B88B22491CFC09769008FEC08BF0467C843A2BD7D49334C7C66</vt:lpwstr>
  </property>
  <property fmtid="{D5CDD505-2E9C-101B-9397-08002B2CF9AE}" pid="5" name="SV_QUERY_LIST_4F35BF76-6C0D-4D9B-82B2-816C12CF3733">
    <vt:lpwstr>empty_477D106A-C0D6-4607-AEBD-E2C9D60EA279</vt:lpwstr>
  </property>
</Properties>
</file>