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3080" windowHeight="8955" activeTab="0"/>
  </bookViews>
  <sheets>
    <sheet name="fiscalnote" sheetId="1" r:id="rId1"/>
    <sheet name="costs" sheetId="2" r:id="rId2"/>
    <sheet name="113Hrs" sheetId="3" r:id="rId3"/>
    <sheet name="HrsByYrAndCoachType" sheetId="4" r:id="rId4"/>
  </sheets>
  <externalReferences>
    <externalReference r:id="rId7"/>
  </externalReferences>
  <definedNames>
    <definedName name="FIVE">#REF!</definedName>
    <definedName name="FOUR">#REF!</definedName>
    <definedName name="ONE">#REF!</definedName>
    <definedName name="_xlnm.Print_Area" localSheetId="0">'fiscalnote'!$A$1:$F$54</definedName>
    <definedName name="SUM">#REF!</definedName>
  </definedNames>
  <calcPr fullCalcOnLoad="1"/>
</workbook>
</file>

<file path=xl/sharedStrings.xml><?xml version="1.0" encoding="utf-8"?>
<sst xmlns="http://schemas.openxmlformats.org/spreadsheetml/2006/main" count="89" uniqueCount="64">
  <si>
    <t>FISCAL NOTE</t>
  </si>
  <si>
    <t>Affected Agencies:  Transit</t>
  </si>
  <si>
    <t xml:space="preserve">Note Reviewed By:  </t>
  </si>
  <si>
    <t xml:space="preserve">  Impact of the above legislation on the fiscal affairs of King County is estimated to be:</t>
  </si>
  <si>
    <t>Revenue to:</t>
  </si>
  <si>
    <t>Fund Title</t>
  </si>
  <si>
    <t>Fund Code</t>
  </si>
  <si>
    <t>Revenue  Source</t>
  </si>
  <si>
    <t>Public Transportation</t>
  </si>
  <si>
    <t>Fare Rev</t>
  </si>
  <si>
    <t>TOTAL</t>
  </si>
  <si>
    <t>Expenditures from:</t>
  </si>
  <si>
    <t>Department</t>
  </si>
  <si>
    <t>Transit</t>
  </si>
  <si>
    <t>Expenditures by Categories:</t>
  </si>
  <si>
    <t>Salaries &amp; Benefits</t>
  </si>
  <si>
    <t>Supplies and Services</t>
  </si>
  <si>
    <t>Capital Outlay</t>
  </si>
  <si>
    <t>Other</t>
  </si>
  <si>
    <t>Assumptions:</t>
  </si>
  <si>
    <t>Net Hours</t>
  </si>
  <si>
    <t>Hybrid</t>
  </si>
  <si>
    <t>DART</t>
  </si>
  <si>
    <t>Route</t>
  </si>
  <si>
    <t>Summary</t>
  </si>
  <si>
    <t>Marginal</t>
  </si>
  <si>
    <t>AllKC</t>
  </si>
  <si>
    <t>FullDiesel</t>
  </si>
  <si>
    <t>60'Diesel</t>
  </si>
  <si>
    <t>Trolley</t>
  </si>
  <si>
    <t>Van</t>
  </si>
  <si>
    <t>30'</t>
  </si>
  <si>
    <t>40'Diesel</t>
  </si>
  <si>
    <t>ArticDiesel</t>
  </si>
  <si>
    <t>40'Trolley</t>
  </si>
  <si>
    <t>60'Trolley</t>
  </si>
  <si>
    <t>Fully Allocated</t>
  </si>
  <si>
    <t>Note Prepared By:  Mike Wold</t>
  </si>
  <si>
    <t>DayCode</t>
  </si>
  <si>
    <t>CoachType</t>
  </si>
  <si>
    <t>2011Hrs</t>
  </si>
  <si>
    <t>2012Hrs</t>
  </si>
  <si>
    <t>2013Hrs</t>
  </si>
  <si>
    <t>Salaries and benefits in each year's marginal cost are as follows:</t>
  </si>
  <si>
    <t>Ordinance/Motion No.:  2011-XXXX</t>
  </si>
  <si>
    <t>Title:  Oct 2011</t>
  </si>
  <si>
    <t>Part</t>
  </si>
  <si>
    <t>E</t>
  </si>
  <si>
    <t>DailyHrs</t>
  </si>
  <si>
    <t>AnnHrs</t>
  </si>
  <si>
    <t>Hrs</t>
  </si>
  <si>
    <t>CumAnnHrs</t>
  </si>
  <si>
    <t>Small Bus</t>
  </si>
  <si>
    <t>Transit Van</t>
  </si>
  <si>
    <t>Diesel Artic</t>
  </si>
  <si>
    <t>Diesel Standard</t>
  </si>
  <si>
    <t>Subcontracted</t>
  </si>
  <si>
    <t>Rapid Ride Coach</t>
  </si>
  <si>
    <t>The 2011 marginal cost is based on the adopted 2011 budget.   Cost growth in 2012 and 2013 is assumed to be 3.8 percent per year, consistent with detailed costing done for Sound Transit billing.</t>
  </si>
  <si>
    <t>New fare paying ridership is estimated at 22 riders per added service hour, with an average fare of $1.2156 per ride in 2011, $1.2335 in 2012, and $1.2352 in 2013.</t>
  </si>
  <si>
    <t>Hours changes in 2011, 2012, and 2013 are based on daily hours, operated for 63 weekdays, 14 Saturdays, and 15 Sunday/holidays in 2011; 255 weekdays, 52 Saturdays, and 59 Sunday/holidays in 2012; and 255 weekdays, 52 Saturdays, and 58 Sunday/holidays in 2013.</t>
  </si>
  <si>
    <t>1st Hill</t>
  </si>
  <si>
    <t>Partnership Revenue</t>
  </si>
  <si>
    <t>No supplemental budget authority appropriation is required for these changes.</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</si>
</sst>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_)"/>
    <numFmt numFmtId="175" formatCode="0.0%"/>
    <numFmt numFmtId="176" formatCode="_-* #,##0.0_-;\-* #,##0.0_-;_-* &quot;-&quot;??_-;_-@_-"/>
    <numFmt numFmtId="177" formatCode="_-* #,##0_-;\-* #,##0_-;_-* &quot;-&quot;??_-;_-@_-"/>
    <numFmt numFmtId="178" formatCode="0.000"/>
    <numFmt numFmtId="179" formatCode="0.0"/>
    <numFmt numFmtId="180" formatCode="mm/dd/yy_)"/>
    <numFmt numFmtId="181" formatCode="General_)"/>
    <numFmt numFmtId="182" formatCode="_(&quot;$&quot;* #,##0.000_);_(&quot;$&quot;* \(#,##0.000\);_(&quot;$&quot;* &quot;-&quot;??_);_(@_)"/>
    <numFmt numFmtId="183" formatCode="_(&quot;$&quot;* #,##0.0000_);_(&quot;$&quot;* \(#,##0.0000\);_(&quot;$&quot;* &quot;-&quot;??_);_(@_)"/>
    <numFmt numFmtId="184" formatCode="_(&quot;$&quot;* #,##0.00000_);_(&quot;$&quot;* \(#,##0.00000\);_(&quot;$&quot;* &quot;-&quot;??_);_(@_)"/>
    <numFmt numFmtId="185" formatCode="_(&quot;$&quot;* #,##0.000000_);_(&quot;$&quot;* \(#,##0.000000\);_(&quot;$&quot;* &quot;-&quot;??_);_(@_)"/>
    <numFmt numFmtId="186" formatCode="_(&quot;$&quot;* #,##0.0000000_);_(&quot;$&quot;* \(#,##0.0000000\);_(&quot;$&quot;* &quot;-&quot;??_);_(@_)"/>
    <numFmt numFmtId="187" formatCode="_(&quot;$&quot;* #,##0.0_);_(&quot;$&quot;* \(#,##0.0\);_(&quot;$&quot;* &quot;-&quot;??_);_(@_)"/>
    <numFmt numFmtId="188" formatCode="_(&quot;$&quot;* #,##0_);_(&quot;$&quot;* \(#,##0\);_(&quot;$&quot;* &quot;-&quot;??_);_(@_)"/>
    <numFmt numFmtId="189" formatCode="0.000%"/>
    <numFmt numFmtId="190" formatCode="0000"/>
    <numFmt numFmtId="191" formatCode="&quot;$&quot;#,##0"/>
    <numFmt numFmtId="192" formatCode="&quot;$&quot;#,##0.00"/>
    <numFmt numFmtId="193" formatCode="0.0000"/>
    <numFmt numFmtId="194" formatCode="&quot;$&quot;#,##0.000"/>
    <numFmt numFmtId="195" formatCode="0.0_);\(0.0\)"/>
    <numFmt numFmtId="196" formatCode="&quot;$&quot;#,##0.0000"/>
    <numFmt numFmtId="197" formatCode="#,##0.0_);[Red]\(#,##0.0\)"/>
    <numFmt numFmtId="198" formatCode="#,##0.000_);[Red]\(#,##0.000\)"/>
    <numFmt numFmtId="199" formatCode="#,##0.0000_);[Red]\(#,##0.0000\)"/>
    <numFmt numFmtId="200" formatCode="_(&quot;$&quot;* #,##0.000_);_(&quot;$&quot;* \(#,##0.000\);_(&quot;$&quot;* &quot;-&quot;???_);_(@_)"/>
  </numFmts>
  <fonts count="50">
    <font>
      <sz val="10"/>
      <name val="Arial"/>
      <family val="0"/>
    </font>
    <font>
      <sz val="8"/>
      <name val="Arial"/>
      <family val="0"/>
    </font>
    <font>
      <u val="single"/>
      <sz val="10"/>
      <color indexed="36"/>
      <name val="Arial"/>
      <family val="0"/>
    </font>
    <font>
      <u val="single"/>
      <sz val="10"/>
      <color indexed="12"/>
      <name val="Arial"/>
      <family val="0"/>
    </font>
    <font>
      <sz val="10.5"/>
      <name val="Arial"/>
      <family val="2"/>
    </font>
    <font>
      <b/>
      <sz val="12"/>
      <name val="Arial"/>
      <family val="2"/>
    </font>
    <font>
      <b/>
      <sz val="10.5"/>
      <name val="Arial"/>
      <family val="2"/>
    </font>
    <font>
      <sz val="10.5"/>
      <name val="Univers"/>
      <family val="2"/>
    </font>
    <font>
      <b/>
      <i/>
      <sz val="10"/>
      <name val="Arial"/>
      <family val="2"/>
    </font>
    <font>
      <b/>
      <sz val="8"/>
      <name val="Arial"/>
      <family val="2"/>
    </font>
    <font>
      <sz val="7"/>
      <name val="Small Fonts"/>
      <family val="2"/>
    </font>
    <font>
      <b/>
      <sz val="10"/>
      <name val="Arial"/>
      <family val="2"/>
    </font>
    <font>
      <sz val="9"/>
      <name val="Arial Narrow"/>
      <family val="2"/>
    </font>
    <font>
      <b/>
      <sz val="9"/>
      <name val="Arial Narrow"/>
      <family val="2"/>
    </font>
    <font>
      <b/>
      <sz val="9"/>
      <color indexed="10"/>
      <name val="Arial Narrow"/>
      <family val="2"/>
    </font>
    <font>
      <sz val="9"/>
      <color indexed="10"/>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style="thin"/>
      <right style="thin"/>
      <top style="thin"/>
      <bottom style="medium"/>
    </border>
    <border>
      <left style="thin"/>
      <right style="medium"/>
      <top style="thin"/>
      <bottom style="medium"/>
    </border>
    <border>
      <left style="thin"/>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thin"/>
    </border>
    <border>
      <left>
        <color indexed="63"/>
      </left>
      <right>
        <color indexed="63"/>
      </right>
      <top style="thin"/>
      <bottom>
        <color indexed="63"/>
      </bottom>
    </border>
    <border>
      <left style="double"/>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07">
    <xf numFmtId="0" fontId="0" fillId="0" borderId="0" xfId="0" applyAlignment="1">
      <alignment/>
    </xf>
    <xf numFmtId="0" fontId="0" fillId="0" borderId="0" xfId="57" applyFont="1" applyAlignment="1">
      <alignment/>
      <protection/>
    </xf>
    <xf numFmtId="0" fontId="4" fillId="0" borderId="0" xfId="57" applyFont="1" applyAlignment="1">
      <alignment/>
      <protection/>
    </xf>
    <xf numFmtId="0" fontId="5" fillId="0" borderId="0" xfId="57" applyFont="1" applyAlignment="1">
      <alignment horizontal="centerContinuous"/>
      <protection/>
    </xf>
    <xf numFmtId="0" fontId="0" fillId="0" borderId="0" xfId="57" applyAlignment="1">
      <alignment/>
      <protection/>
    </xf>
    <xf numFmtId="0" fontId="0" fillId="0" borderId="0" xfId="57">
      <alignment/>
      <protection/>
    </xf>
    <xf numFmtId="0" fontId="1" fillId="0" borderId="0" xfId="57" applyFont="1" applyAlignment="1">
      <alignment horizontal="left"/>
      <protection/>
    </xf>
    <xf numFmtId="0" fontId="4" fillId="0" borderId="0" xfId="57" applyFont="1" applyAlignment="1">
      <alignment horizontal="centerContinuous"/>
      <protection/>
    </xf>
    <xf numFmtId="0" fontId="0" fillId="0" borderId="0" xfId="57" applyAlignment="1">
      <alignment horizontal="centerContinuous"/>
      <protection/>
    </xf>
    <xf numFmtId="0" fontId="4" fillId="0" borderId="10" xfId="57" applyFont="1" applyBorder="1" applyAlignment="1">
      <alignment horizontal="centerContinuous"/>
      <protection/>
    </xf>
    <xf numFmtId="0" fontId="4" fillId="0" borderId="11" xfId="57" applyFont="1" applyBorder="1" applyAlignment="1">
      <alignment horizontal="centerContinuous"/>
      <protection/>
    </xf>
    <xf numFmtId="0" fontId="4" fillId="0" borderId="12" xfId="57" applyFont="1" applyBorder="1">
      <alignment/>
      <protection/>
    </xf>
    <xf numFmtId="0" fontId="4" fillId="0" borderId="0" xfId="57" applyFont="1" applyBorder="1" applyAlignment="1">
      <alignment horizontal="left"/>
      <protection/>
    </xf>
    <xf numFmtId="0" fontId="0" fillId="0" borderId="0" xfId="57" applyFont="1">
      <alignment/>
      <protection/>
    </xf>
    <xf numFmtId="0" fontId="4" fillId="0" borderId="0" xfId="57" applyFont="1" applyBorder="1">
      <alignment/>
      <protection/>
    </xf>
    <xf numFmtId="0" fontId="4" fillId="0" borderId="13" xfId="57" applyFont="1" applyBorder="1">
      <alignment/>
      <protection/>
    </xf>
    <xf numFmtId="0" fontId="4" fillId="0" borderId="14" xfId="57" applyFont="1" applyBorder="1">
      <alignment/>
      <protection/>
    </xf>
    <xf numFmtId="0" fontId="4" fillId="0" borderId="15" xfId="57" applyFont="1" applyBorder="1">
      <alignment/>
      <protection/>
    </xf>
    <xf numFmtId="0" fontId="4" fillId="0" borderId="16" xfId="57" applyFont="1" applyBorder="1">
      <alignment/>
      <protection/>
    </xf>
    <xf numFmtId="0" fontId="4" fillId="0" borderId="0" xfId="57" applyFont="1">
      <alignment/>
      <protection/>
    </xf>
    <xf numFmtId="0" fontId="0" fillId="0" borderId="0" xfId="57" applyAlignment="1">
      <alignment horizontal="left"/>
      <protection/>
    </xf>
    <xf numFmtId="0" fontId="6" fillId="0" borderId="0" xfId="57" applyFont="1">
      <alignment/>
      <protection/>
    </xf>
    <xf numFmtId="0" fontId="6" fillId="0" borderId="17" xfId="57" applyFont="1" applyBorder="1" applyAlignment="1">
      <alignment/>
      <protection/>
    </xf>
    <xf numFmtId="0" fontId="6" fillId="0" borderId="18" xfId="57" applyFont="1" applyBorder="1" applyAlignment="1">
      <alignment horizontal="center" wrapText="1"/>
      <protection/>
    </xf>
    <xf numFmtId="0" fontId="6" fillId="0" borderId="18" xfId="57" applyFont="1" applyBorder="1" applyAlignment="1">
      <alignment horizontal="center"/>
      <protection/>
    </xf>
    <xf numFmtId="0" fontId="6" fillId="0" borderId="19" xfId="57" applyFont="1" applyBorder="1" applyAlignment="1">
      <alignment horizontal="center"/>
      <protection/>
    </xf>
    <xf numFmtId="0" fontId="6" fillId="0" borderId="20" xfId="57" applyFont="1" applyBorder="1" applyAlignment="1">
      <alignment horizontal="center"/>
      <protection/>
    </xf>
    <xf numFmtId="0" fontId="4" fillId="0" borderId="21" xfId="57" applyFont="1" applyBorder="1" applyAlignment="1">
      <alignment wrapText="1"/>
      <protection/>
    </xf>
    <xf numFmtId="190" fontId="4" fillId="0" borderId="22" xfId="57" applyNumberFormat="1" applyFont="1" applyBorder="1">
      <alignment/>
      <protection/>
    </xf>
    <xf numFmtId="0" fontId="4" fillId="0" borderId="22" xfId="57" applyFont="1" applyBorder="1" applyAlignment="1">
      <alignment horizontal="center" wrapText="1"/>
      <protection/>
    </xf>
    <xf numFmtId="191" fontId="4" fillId="0" borderId="23" xfId="57" applyNumberFormat="1" applyFont="1" applyFill="1" applyBorder="1">
      <alignment/>
      <protection/>
    </xf>
    <xf numFmtId="191" fontId="4" fillId="0" borderId="24" xfId="57" applyNumberFormat="1" applyFont="1" applyFill="1" applyBorder="1">
      <alignment/>
      <protection/>
    </xf>
    <xf numFmtId="191" fontId="0" fillId="0" borderId="0" xfId="57" applyNumberFormat="1">
      <alignment/>
      <protection/>
    </xf>
    <xf numFmtId="3" fontId="4" fillId="0" borderId="22" xfId="57" applyNumberFormat="1" applyFont="1" applyBorder="1" applyAlignment="1">
      <alignment horizontal="right"/>
      <protection/>
    </xf>
    <xf numFmtId="3" fontId="4" fillId="0" borderId="23" xfId="57" applyNumberFormat="1" applyFont="1" applyBorder="1" applyAlignment="1">
      <alignment horizontal="right"/>
      <protection/>
    </xf>
    <xf numFmtId="3" fontId="4" fillId="0" borderId="24" xfId="57" applyNumberFormat="1" applyFont="1" applyBorder="1" applyAlignment="1">
      <alignment horizontal="right"/>
      <protection/>
    </xf>
    <xf numFmtId="0" fontId="4" fillId="0" borderId="25" xfId="57" applyFont="1" applyBorder="1">
      <alignment/>
      <protection/>
    </xf>
    <xf numFmtId="0" fontId="4" fillId="0" borderId="26" xfId="57" applyFont="1" applyBorder="1">
      <alignment/>
      <protection/>
    </xf>
    <xf numFmtId="191" fontId="6" fillId="0" borderId="26" xfId="57" applyNumberFormat="1" applyFont="1" applyBorder="1">
      <alignment/>
      <protection/>
    </xf>
    <xf numFmtId="191" fontId="6" fillId="0" borderId="27" xfId="57" applyNumberFormat="1" applyFont="1" applyBorder="1">
      <alignment/>
      <protection/>
    </xf>
    <xf numFmtId="3" fontId="4" fillId="0" borderId="0" xfId="57" applyNumberFormat="1" applyFont="1">
      <alignment/>
      <protection/>
    </xf>
    <xf numFmtId="0" fontId="6" fillId="0" borderId="0" xfId="57" applyFont="1" applyBorder="1">
      <alignment/>
      <protection/>
    </xf>
    <xf numFmtId="190" fontId="4" fillId="0" borderId="22" xfId="57" applyNumberFormat="1" applyFont="1" applyBorder="1" applyAlignment="1">
      <alignment horizontal="center" wrapText="1"/>
      <protection/>
    </xf>
    <xf numFmtId="191" fontId="4" fillId="0" borderId="23" xfId="57" applyNumberFormat="1" applyFont="1" applyBorder="1">
      <alignment/>
      <protection/>
    </xf>
    <xf numFmtId="191" fontId="4" fillId="0" borderId="24" xfId="57" applyNumberFormat="1" applyFont="1" applyBorder="1">
      <alignment/>
      <protection/>
    </xf>
    <xf numFmtId="0" fontId="4" fillId="0" borderId="21" xfId="57" applyFont="1" applyBorder="1">
      <alignment/>
      <protection/>
    </xf>
    <xf numFmtId="190" fontId="4" fillId="0" borderId="22" xfId="57" applyNumberFormat="1" applyFont="1" applyBorder="1" applyAlignment="1">
      <alignment horizontal="right"/>
      <protection/>
    </xf>
    <xf numFmtId="190" fontId="4" fillId="0" borderId="22" xfId="57" applyNumberFormat="1" applyFont="1" applyBorder="1" applyAlignment="1">
      <alignment horizontal="center"/>
      <protection/>
    </xf>
    <xf numFmtId="3" fontId="4" fillId="0" borderId="23" xfId="57" applyNumberFormat="1" applyFont="1" applyBorder="1">
      <alignment/>
      <protection/>
    </xf>
    <xf numFmtId="173" fontId="0" fillId="0" borderId="22" xfId="42" applyNumberFormat="1" applyBorder="1" applyAlignment="1">
      <alignment/>
    </xf>
    <xf numFmtId="173" fontId="0" fillId="0" borderId="24" xfId="42" applyNumberFormat="1" applyBorder="1" applyAlignment="1">
      <alignment/>
    </xf>
    <xf numFmtId="191" fontId="6" fillId="0" borderId="28" xfId="44" applyNumberFormat="1" applyFont="1" applyBorder="1" applyAlignment="1">
      <alignment horizontal="right"/>
    </xf>
    <xf numFmtId="191" fontId="6" fillId="0" borderId="27" xfId="44" applyNumberFormat="1" applyFont="1" applyBorder="1" applyAlignment="1">
      <alignment horizontal="right"/>
    </xf>
    <xf numFmtId="3" fontId="7" fillId="0" borderId="0" xfId="57" applyNumberFormat="1" applyFont="1" applyBorder="1">
      <alignment/>
      <protection/>
    </xf>
    <xf numFmtId="0" fontId="4" fillId="0" borderId="17" xfId="57" applyFont="1" applyBorder="1">
      <alignment/>
      <protection/>
    </xf>
    <xf numFmtId="0" fontId="4" fillId="0" borderId="29" xfId="57" applyFont="1" applyBorder="1" applyAlignment="1">
      <alignment horizontal="center"/>
      <protection/>
    </xf>
    <xf numFmtId="0" fontId="4" fillId="0" borderId="30" xfId="57" applyFont="1" applyBorder="1" applyAlignment="1">
      <alignment horizontal="center"/>
      <protection/>
    </xf>
    <xf numFmtId="0" fontId="0" fillId="0" borderId="0" xfId="57" applyBorder="1">
      <alignment/>
      <protection/>
    </xf>
    <xf numFmtId="0" fontId="4" fillId="0" borderId="31" xfId="57" applyFont="1" applyBorder="1" applyAlignment="1">
      <alignment horizontal="center"/>
      <protection/>
    </xf>
    <xf numFmtId="0" fontId="4" fillId="0" borderId="32" xfId="57" applyFont="1" applyBorder="1" applyAlignment="1">
      <alignment horizontal="center"/>
      <protection/>
    </xf>
    <xf numFmtId="0" fontId="4" fillId="0" borderId="31" xfId="57" applyFont="1" applyBorder="1">
      <alignment/>
      <protection/>
    </xf>
    <xf numFmtId="0" fontId="4" fillId="0" borderId="32" xfId="57" applyFont="1" applyBorder="1">
      <alignment/>
      <protection/>
    </xf>
    <xf numFmtId="191" fontId="4" fillId="0" borderId="22" xfId="42" applyNumberFormat="1" applyFont="1" applyBorder="1" applyAlignment="1">
      <alignment/>
    </xf>
    <xf numFmtId="191" fontId="4" fillId="0" borderId="23" xfId="42" applyNumberFormat="1" applyFont="1" applyBorder="1" applyAlignment="1">
      <alignment/>
    </xf>
    <xf numFmtId="191" fontId="4" fillId="0" borderId="24" xfId="42" applyNumberFormat="1" applyFont="1" applyBorder="1" applyAlignment="1">
      <alignment/>
    </xf>
    <xf numFmtId="3" fontId="0" fillId="0" borderId="0" xfId="57" applyNumberFormat="1" applyBorder="1">
      <alignment/>
      <protection/>
    </xf>
    <xf numFmtId="191" fontId="4" fillId="0" borderId="22" xfId="57" applyNumberFormat="1" applyFont="1" applyBorder="1">
      <alignment/>
      <protection/>
    </xf>
    <xf numFmtId="191" fontId="0" fillId="0" borderId="0" xfId="57" applyNumberFormat="1" applyFont="1" applyBorder="1">
      <alignment/>
      <protection/>
    </xf>
    <xf numFmtId="0" fontId="4" fillId="0" borderId="33" xfId="57" applyFont="1" applyBorder="1">
      <alignment/>
      <protection/>
    </xf>
    <xf numFmtId="0" fontId="4" fillId="0" borderId="34" xfId="57" applyFont="1" applyBorder="1">
      <alignment/>
      <protection/>
    </xf>
    <xf numFmtId="3" fontId="0" fillId="0" borderId="0" xfId="57" applyNumberFormat="1">
      <alignment/>
      <protection/>
    </xf>
    <xf numFmtId="0" fontId="8" fillId="0" borderId="29" xfId="57" applyFont="1" applyBorder="1">
      <alignment/>
      <protection/>
    </xf>
    <xf numFmtId="0" fontId="4" fillId="0" borderId="29" xfId="57" applyFont="1" applyBorder="1">
      <alignment/>
      <protection/>
    </xf>
    <xf numFmtId="0" fontId="9" fillId="0" borderId="29" xfId="0" applyFont="1" applyBorder="1" applyAlignment="1">
      <alignment horizontal="right" vertical="center" wrapText="1"/>
    </xf>
    <xf numFmtId="0" fontId="1" fillId="0" borderId="0" xfId="0" applyFont="1" applyBorder="1" applyAlignment="1">
      <alignment horizontal="left" vertical="center" wrapText="1"/>
    </xf>
    <xf numFmtId="3" fontId="1" fillId="0" borderId="0" xfId="57" applyNumberFormat="1" applyFont="1" applyBorder="1" applyAlignment="1">
      <alignment horizontal="right" vertical="center" wrapText="1"/>
      <protection/>
    </xf>
    <xf numFmtId="0" fontId="11" fillId="0" borderId="35" xfId="0" applyFont="1" applyBorder="1" applyAlignment="1">
      <alignment horizontal="left" vertical="center" wrapText="1"/>
    </xf>
    <xf numFmtId="0" fontId="9" fillId="0" borderId="35" xfId="57" applyFont="1" applyBorder="1" applyAlignment="1">
      <alignment horizontal="left" vertical="center" wrapText="1"/>
      <protection/>
    </xf>
    <xf numFmtId="3" fontId="9" fillId="0" borderId="35" xfId="57" applyNumberFormat="1" applyFont="1" applyBorder="1" applyAlignment="1">
      <alignment horizontal="right" vertical="center" wrapText="1"/>
      <protection/>
    </xf>
    <xf numFmtId="192" fontId="1" fillId="0" borderId="0" xfId="57" applyNumberFormat="1" applyFont="1" applyBorder="1" applyAlignment="1">
      <alignment horizontal="right" vertical="center"/>
      <protection/>
    </xf>
    <xf numFmtId="192" fontId="1" fillId="0" borderId="36" xfId="57" applyNumberFormat="1" applyFont="1" applyBorder="1" applyAlignment="1">
      <alignment horizontal="right" vertical="center"/>
      <protection/>
    </xf>
    <xf numFmtId="0" fontId="1" fillId="0" borderId="36" xfId="0" applyFont="1" applyBorder="1" applyAlignment="1">
      <alignment horizontal="left" vertical="center" wrapText="1"/>
    </xf>
    <xf numFmtId="2" fontId="12" fillId="0" borderId="0" xfId="57" applyNumberFormat="1" applyFont="1">
      <alignment/>
      <protection/>
    </xf>
    <xf numFmtId="2" fontId="13" fillId="0" borderId="0" xfId="57" applyNumberFormat="1" applyFont="1">
      <alignment/>
      <protection/>
    </xf>
    <xf numFmtId="2" fontId="14" fillId="0" borderId="0" xfId="57" applyNumberFormat="1" applyFont="1">
      <alignment/>
      <protection/>
    </xf>
    <xf numFmtId="44" fontId="15" fillId="0" borderId="0" xfId="44" applyFont="1" applyAlignment="1">
      <alignment/>
    </xf>
    <xf numFmtId="2" fontId="0" fillId="0" borderId="0" xfId="0" applyNumberFormat="1" applyAlignment="1">
      <alignment/>
    </xf>
    <xf numFmtId="0" fontId="0" fillId="0" borderId="0" xfId="0" applyAlignment="1">
      <alignment horizontal="right"/>
    </xf>
    <xf numFmtId="3" fontId="0" fillId="0" borderId="0" xfId="0" applyNumberFormat="1" applyAlignment="1">
      <alignment/>
    </xf>
    <xf numFmtId="0" fontId="0" fillId="0" borderId="0" xfId="0" applyAlignment="1" quotePrefix="1">
      <alignment horizontal="right"/>
    </xf>
    <xf numFmtId="0" fontId="1" fillId="0" borderId="0" xfId="57" applyFont="1">
      <alignment/>
      <protection/>
    </xf>
    <xf numFmtId="0" fontId="4" fillId="0" borderId="37" xfId="57" applyFont="1" applyBorder="1" applyAlignment="1">
      <alignment horizontal="left"/>
      <protection/>
    </xf>
    <xf numFmtId="0" fontId="0" fillId="0" borderId="10" xfId="0" applyBorder="1" applyAlignment="1">
      <alignment/>
    </xf>
    <xf numFmtId="0" fontId="1" fillId="0" borderId="0" xfId="57" applyFont="1" applyAlignment="1">
      <alignment horizontal="left"/>
      <protection/>
    </xf>
    <xf numFmtId="0" fontId="4" fillId="0" borderId="13" xfId="57" applyFont="1" applyBorder="1" applyAlignment="1">
      <alignment/>
      <protection/>
    </xf>
    <xf numFmtId="0" fontId="0" fillId="0" borderId="0" xfId="0" applyAlignment="1">
      <alignment/>
    </xf>
    <xf numFmtId="0" fontId="10" fillId="0" borderId="36" xfId="57" applyFont="1" applyBorder="1" applyAlignment="1">
      <alignment horizontal="left" vertical="center" wrapText="1"/>
      <protection/>
    </xf>
    <xf numFmtId="0" fontId="0" fillId="0" borderId="36" xfId="0" applyBorder="1" applyAlignment="1">
      <alignment horizontal="left" vertical="center" wrapText="1"/>
    </xf>
    <xf numFmtId="0" fontId="10" fillId="0" borderId="0" xfId="57" applyFont="1" applyBorder="1" applyAlignment="1">
      <alignment horizontal="left" vertical="center" wrapText="1"/>
      <protection/>
    </xf>
    <xf numFmtId="0" fontId="0" fillId="0" borderId="0" xfId="0" applyBorder="1" applyAlignment="1">
      <alignment horizontal="left" vertical="center" wrapText="1"/>
    </xf>
    <xf numFmtId="0" fontId="10" fillId="0" borderId="36" xfId="0" applyFont="1" applyBorder="1" applyAlignment="1">
      <alignment horizontal="left" vertical="center" wrapText="1"/>
    </xf>
    <xf numFmtId="0" fontId="10" fillId="0" borderId="0" xfId="0" applyFont="1" applyBorder="1" applyAlignment="1">
      <alignment horizontal="left" vertical="center" wrapText="1"/>
    </xf>
    <xf numFmtId="0" fontId="1" fillId="0" borderId="36" xfId="0" applyFont="1" applyBorder="1" applyAlignment="1">
      <alignment horizontal="left" vertical="center" wrapText="1"/>
    </xf>
    <xf numFmtId="0" fontId="1" fillId="0" borderId="0" xfId="0" applyFont="1" applyBorder="1" applyAlignment="1">
      <alignment horizontal="left" vertical="center" wrapText="1"/>
    </xf>
    <xf numFmtId="0" fontId="4" fillId="0" borderId="13" xfId="57" applyFont="1" applyBorder="1" applyAlignment="1">
      <alignment horizontal="left"/>
      <protection/>
    </xf>
    <xf numFmtId="0" fontId="0" fillId="0" borderId="12" xfId="0" applyBorder="1" applyAlignment="1">
      <alignment/>
    </xf>
    <xf numFmtId="0" fontId="1" fillId="0" borderId="0" xfId="57" applyFont="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IP Correction Fiscal Note"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hulld\Local%20Settings\Temporary%20Internet%20Files\OLK25\2011cos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budget"/>
    </sheetNames>
    <sheetDataSet>
      <sheetData sheetId="0">
        <row r="5">
          <cell r="B5">
            <v>93.54263188994223</v>
          </cell>
          <cell r="E5">
            <v>134.0222158842407</v>
          </cell>
        </row>
        <row r="6">
          <cell r="B6">
            <v>96.73067284117728</v>
          </cell>
          <cell r="E6">
            <v>134.71429470960533</v>
          </cell>
        </row>
        <row r="7">
          <cell r="B7">
            <v>104.14079612034588</v>
          </cell>
          <cell r="E7">
            <v>142.5981310816193</v>
          </cell>
        </row>
        <row r="8">
          <cell r="B8">
            <v>81.883666013505</v>
          </cell>
          <cell r="E8">
            <v>128.98698522568827</v>
          </cell>
        </row>
        <row r="9">
          <cell r="B9">
            <v>85.31613656957623</v>
          </cell>
          <cell r="E9">
            <v>122.87270790635013</v>
          </cell>
        </row>
        <row r="10">
          <cell r="B10">
            <v>86.32191202250466</v>
          </cell>
          <cell r="E10">
            <v>123.65857366891713</v>
          </cell>
        </row>
        <row r="11">
          <cell r="B11">
            <v>88.61192634465573</v>
          </cell>
          <cell r="E11">
            <v>126.07653437647105</v>
          </cell>
        </row>
        <row r="12">
          <cell r="B12">
            <v>106.34525817475027</v>
          </cell>
          <cell r="E12">
            <v>145.0492645952139</v>
          </cell>
        </row>
        <row r="13">
          <cell r="B13">
            <v>102.29993173502831</v>
          </cell>
          <cell r="E13">
            <v>140.55128052240025</v>
          </cell>
        </row>
        <row r="14">
          <cell r="B14">
            <v>77.01226756276193</v>
          </cell>
          <cell r="E14">
            <v>123.68792883856779</v>
          </cell>
        </row>
        <row r="15">
          <cell r="B15">
            <v>90.92285224180505</v>
          </cell>
          <cell r="E15">
            <v>138.81971765391705</v>
          </cell>
        </row>
        <row r="16">
          <cell r="B16">
            <v>78.38387280533998</v>
          </cell>
          <cell r="E16">
            <v>98.43481872365481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56"/>
  <sheetViews>
    <sheetView tabSelected="1" zoomScalePageLayoutView="0" workbookViewId="0" topLeftCell="A1">
      <selection activeCell="G48" sqref="G48"/>
    </sheetView>
  </sheetViews>
  <sheetFormatPr defaultColWidth="9.140625" defaultRowHeight="12.75"/>
  <cols>
    <col min="1" max="1" width="22.421875" style="5" customWidth="1"/>
    <col min="2" max="2" width="6.421875" style="5" bestFit="1" customWidth="1"/>
    <col min="3" max="3" width="13.7109375" style="5" customWidth="1"/>
    <col min="4" max="4" width="13.57421875" style="5" customWidth="1"/>
    <col min="5" max="5" width="13.7109375" style="5" customWidth="1"/>
    <col min="6" max="6" width="14.140625" style="5" customWidth="1"/>
    <col min="7" max="16384" width="9.140625" style="5" customWidth="1"/>
  </cols>
  <sheetData>
    <row r="1" spans="1:8" ht="15.75">
      <c r="A1" s="1"/>
      <c r="B1" s="2"/>
      <c r="C1" s="3" t="s">
        <v>0</v>
      </c>
      <c r="D1" s="2"/>
      <c r="E1" s="2"/>
      <c r="F1" s="2"/>
      <c r="G1" s="4"/>
      <c r="H1" s="4"/>
    </row>
    <row r="2" spans="1:7" ht="3.75" customHeight="1" thickBot="1">
      <c r="A2" s="6"/>
      <c r="B2" s="7"/>
      <c r="C2" s="7"/>
      <c r="D2" s="7"/>
      <c r="E2" s="7"/>
      <c r="F2" s="7"/>
      <c r="G2" s="8"/>
    </row>
    <row r="3" spans="1:7" ht="18" customHeight="1" thickTop="1">
      <c r="A3" s="91" t="s">
        <v>44</v>
      </c>
      <c r="B3" s="92"/>
      <c r="C3" s="92"/>
      <c r="D3" s="9"/>
      <c r="E3" s="9"/>
      <c r="F3" s="10"/>
      <c r="G3" s="8"/>
    </row>
    <row r="4" spans="1:7" ht="18" customHeight="1">
      <c r="A4" s="104" t="s">
        <v>45</v>
      </c>
      <c r="B4" s="95"/>
      <c r="C4" s="95"/>
      <c r="D4" s="95"/>
      <c r="E4" s="95"/>
      <c r="F4" s="105"/>
      <c r="G4" s="8"/>
    </row>
    <row r="5" spans="1:6" ht="18" customHeight="1">
      <c r="A5" s="94" t="s">
        <v>1</v>
      </c>
      <c r="B5" s="95"/>
      <c r="C5" s="12"/>
      <c r="D5" s="13"/>
      <c r="E5" s="14"/>
      <c r="F5" s="11"/>
    </row>
    <row r="6" spans="1:6" ht="18" customHeight="1">
      <c r="A6" s="15" t="s">
        <v>37</v>
      </c>
      <c r="B6" s="14"/>
      <c r="C6" s="14"/>
      <c r="D6" s="14"/>
      <c r="E6" s="14"/>
      <c r="F6" s="11"/>
    </row>
    <row r="7" spans="1:6" ht="18" customHeight="1" thickBot="1">
      <c r="A7" s="16" t="s">
        <v>2</v>
      </c>
      <c r="B7" s="17"/>
      <c r="C7" s="17"/>
      <c r="D7" s="17"/>
      <c r="E7" s="17"/>
      <c r="F7" s="18"/>
    </row>
    <row r="8" spans="1:7" ht="6" customHeight="1" thickTop="1">
      <c r="A8" s="19"/>
      <c r="B8" s="19"/>
      <c r="C8" s="14"/>
      <c r="D8" s="14"/>
      <c r="E8" s="14"/>
      <c r="F8" s="14"/>
      <c r="G8" s="20"/>
    </row>
    <row r="9" spans="1:6" ht="18" customHeight="1">
      <c r="A9" s="14" t="s">
        <v>3</v>
      </c>
      <c r="B9" s="19"/>
      <c r="C9" s="19"/>
      <c r="D9" s="19"/>
      <c r="E9" s="19"/>
      <c r="F9" s="19"/>
    </row>
    <row r="10" spans="1:7" ht="18" customHeight="1" thickBot="1">
      <c r="A10" s="21" t="s">
        <v>4</v>
      </c>
      <c r="B10" s="19"/>
      <c r="C10" s="19"/>
      <c r="D10" s="19"/>
      <c r="E10" s="19"/>
      <c r="F10" s="19"/>
      <c r="G10" s="20"/>
    </row>
    <row r="11" spans="1:6" ht="27">
      <c r="A11" s="22" t="s">
        <v>5</v>
      </c>
      <c r="B11" s="23" t="s">
        <v>6</v>
      </c>
      <c r="C11" s="23" t="s">
        <v>7</v>
      </c>
      <c r="D11" s="24">
        <v>2011</v>
      </c>
      <c r="E11" s="25">
        <f>D11+1</f>
        <v>2012</v>
      </c>
      <c r="F11" s="26">
        <f>E11+1</f>
        <v>2013</v>
      </c>
    </row>
    <row r="12" spans="1:6" ht="13.5">
      <c r="A12" s="27" t="s">
        <v>8</v>
      </c>
      <c r="B12" s="28">
        <v>4640</v>
      </c>
      <c r="C12" s="29" t="s">
        <v>9</v>
      </c>
      <c r="D12" s="30">
        <f>ROUND(SUM(D32:D38)*22*1.2156,2)</f>
        <v>333767.62</v>
      </c>
      <c r="E12" s="30">
        <f>ROUND(SUM(E32:E38)*22*1.2335,2)</f>
        <v>1342259.34</v>
      </c>
      <c r="F12" s="31">
        <f>ROUND(SUM(F32:F38)*22*1.2352,2)</f>
        <v>1339323.82</v>
      </c>
    </row>
    <row r="13" spans="1:7" ht="13.5">
      <c r="A13" s="27" t="s">
        <v>62</v>
      </c>
      <c r="B13" s="28"/>
      <c r="C13" s="29"/>
      <c r="D13" s="30">
        <v>89726</v>
      </c>
      <c r="E13" s="30">
        <v>380106</v>
      </c>
      <c r="F13" s="31">
        <v>391510</v>
      </c>
      <c r="G13" s="32"/>
    </row>
    <row r="14" spans="1:6" ht="13.5">
      <c r="A14" s="27"/>
      <c r="B14" s="28"/>
      <c r="C14" s="29"/>
      <c r="D14" s="33"/>
      <c r="E14" s="34"/>
      <c r="F14" s="35"/>
    </row>
    <row r="15" spans="1:6" ht="18" customHeight="1" thickBot="1">
      <c r="A15" s="36" t="s">
        <v>10</v>
      </c>
      <c r="B15" s="37"/>
      <c r="C15" s="37"/>
      <c r="D15" s="38">
        <f>SUM(D12:D14)</f>
        <v>423493.62</v>
      </c>
      <c r="E15" s="38">
        <f>SUM(E12:E14)</f>
        <v>1722365.34</v>
      </c>
      <c r="F15" s="39">
        <f>SUM(F12:F14)</f>
        <v>1730833.82</v>
      </c>
    </row>
    <row r="16" spans="1:6" ht="6" customHeight="1">
      <c r="A16" s="19"/>
      <c r="B16" s="19"/>
      <c r="C16" s="19"/>
      <c r="D16" s="40"/>
      <c r="E16" s="40"/>
      <c r="F16" s="40"/>
    </row>
    <row r="17" spans="1:6" ht="18" customHeight="1" thickBot="1">
      <c r="A17" s="41" t="s">
        <v>11</v>
      </c>
      <c r="B17" s="14"/>
      <c r="C17" s="19"/>
      <c r="D17" s="19"/>
      <c r="E17" s="19"/>
      <c r="F17" s="19"/>
    </row>
    <row r="18" spans="1:6" ht="27">
      <c r="A18" s="22" t="s">
        <v>5</v>
      </c>
      <c r="B18" s="23" t="s">
        <v>6</v>
      </c>
      <c r="C18" s="23" t="s">
        <v>12</v>
      </c>
      <c r="D18" s="24">
        <f>D11</f>
        <v>2011</v>
      </c>
      <c r="E18" s="25">
        <f>D18+1</f>
        <v>2012</v>
      </c>
      <c r="F18" s="26">
        <f>E18+1</f>
        <v>2013</v>
      </c>
    </row>
    <row r="19" spans="1:6" ht="13.5">
      <c r="A19" s="27" t="s">
        <v>8</v>
      </c>
      <c r="B19" s="28">
        <v>4640</v>
      </c>
      <c r="C19" s="42" t="s">
        <v>13</v>
      </c>
      <c r="D19" s="43">
        <f>ROUND((D32*D40+D33*D41+D34*D42+D35*D43+D36*D44+D37*D45+D38*D46),2)</f>
        <v>1334723.29</v>
      </c>
      <c r="E19" s="43">
        <f>ROUND((E32*E40+E33*E41+E34*E42+E35*E43+E36*E44+E37*E45+E38*E46),2)</f>
        <v>5494761.4</v>
      </c>
      <c r="F19" s="44">
        <f>ROUND((F32*F40+F33*F41+F34*F42+F35*F43+F36*F44+F37*F45+F38*F46),2)</f>
        <v>5685018.29</v>
      </c>
    </row>
    <row r="20" spans="1:6" ht="18" customHeight="1">
      <c r="A20" s="45"/>
      <c r="B20" s="46"/>
      <c r="C20" s="47"/>
      <c r="D20" s="48"/>
      <c r="E20" s="49"/>
      <c r="F20" s="44"/>
    </row>
    <row r="21" spans="1:6" ht="18" customHeight="1">
      <c r="A21" s="45"/>
      <c r="B21" s="46"/>
      <c r="C21" s="47"/>
      <c r="D21" s="48"/>
      <c r="E21" s="49"/>
      <c r="F21" s="50"/>
    </row>
    <row r="22" spans="1:7" ht="18" customHeight="1" thickBot="1">
      <c r="A22" s="36" t="s">
        <v>10</v>
      </c>
      <c r="B22" s="37"/>
      <c r="C22" s="37"/>
      <c r="D22" s="51">
        <f>SUM(D19:D21)</f>
        <v>1334723.29</v>
      </c>
      <c r="E22" s="51">
        <f>SUM(E19:E21)</f>
        <v>5494761.4</v>
      </c>
      <c r="F22" s="52">
        <f>SUM(F19:F21)</f>
        <v>5685018.29</v>
      </c>
      <c r="G22" s="53"/>
    </row>
    <row r="23" spans="1:6" ht="6" customHeight="1">
      <c r="A23" s="19"/>
      <c r="B23" s="19"/>
      <c r="C23" s="19"/>
      <c r="D23" s="40"/>
      <c r="E23" s="40"/>
      <c r="F23" s="40"/>
    </row>
    <row r="24" spans="1:6" ht="18" customHeight="1" thickBot="1">
      <c r="A24" s="41" t="s">
        <v>14</v>
      </c>
      <c r="B24" s="14"/>
      <c r="C24" s="14"/>
      <c r="D24" s="19"/>
      <c r="E24" s="19"/>
      <c r="F24" s="19"/>
    </row>
    <row r="25" spans="1:8" ht="18" customHeight="1">
      <c r="A25" s="54"/>
      <c r="B25" s="55"/>
      <c r="C25" s="56"/>
      <c r="D25" s="24">
        <f>D18</f>
        <v>2011</v>
      </c>
      <c r="E25" s="25">
        <f>D25+1</f>
        <v>2012</v>
      </c>
      <c r="F25" s="26">
        <f>E25+1</f>
        <v>2013</v>
      </c>
      <c r="G25" s="57"/>
      <c r="H25" s="57"/>
    </row>
    <row r="26" spans="1:8" ht="18" customHeight="1">
      <c r="A26" s="45" t="s">
        <v>15</v>
      </c>
      <c r="B26" s="58"/>
      <c r="C26" s="59"/>
      <c r="D26" s="43">
        <f>ROUND(D32*D47+D33*D48+D34*D49+D35*D50+D36*D51+D38*D52,2)</f>
        <v>1074374.5</v>
      </c>
      <c r="E26" s="43">
        <f>ROUND(E32*E47+E33*E48+E34*E49+E35*E50+E36*E51+E38*E52,2)</f>
        <v>4429170.35</v>
      </c>
      <c r="F26" s="44">
        <f>ROUND(F32*F47+F33*F48+F34*F49+F35*F50+F36*F51+F38*F52,2)</f>
        <v>4583570.79</v>
      </c>
      <c r="G26" s="57"/>
      <c r="H26" s="57"/>
    </row>
    <row r="27" spans="1:8" ht="18" customHeight="1">
      <c r="A27" s="45" t="s">
        <v>16</v>
      </c>
      <c r="B27" s="60"/>
      <c r="C27" s="61"/>
      <c r="D27" s="62">
        <f>+D22-D26</f>
        <v>260348.79000000004</v>
      </c>
      <c r="E27" s="63">
        <f>+E22-E26</f>
        <v>1065591.0500000007</v>
      </c>
      <c r="F27" s="64">
        <f>+F22-F26</f>
        <v>1101447.5</v>
      </c>
      <c r="G27" s="65"/>
      <c r="H27" s="65"/>
    </row>
    <row r="28" spans="1:8" ht="18" customHeight="1">
      <c r="A28" s="45" t="s">
        <v>17</v>
      </c>
      <c r="B28" s="60"/>
      <c r="C28" s="61"/>
      <c r="D28" s="43"/>
      <c r="E28" s="43"/>
      <c r="F28" s="44"/>
      <c r="G28" s="65"/>
      <c r="H28" s="65"/>
    </row>
    <row r="29" spans="1:6" ht="18" customHeight="1">
      <c r="A29" s="45" t="s">
        <v>18</v>
      </c>
      <c r="B29" s="60"/>
      <c r="C29" s="61"/>
      <c r="D29" s="66"/>
      <c r="E29" s="67"/>
      <c r="F29" s="44"/>
    </row>
    <row r="30" spans="1:8" ht="18" customHeight="1" thickBot="1">
      <c r="A30" s="36" t="s">
        <v>10</v>
      </c>
      <c r="B30" s="68"/>
      <c r="C30" s="69"/>
      <c r="D30" s="38">
        <f>SUM(D26:D29)</f>
        <v>1334723.29</v>
      </c>
      <c r="E30" s="38">
        <f>SUM(E26:E29)</f>
        <v>5494761.4</v>
      </c>
      <c r="F30" s="39">
        <f>SUM(F26:F29)</f>
        <v>5685018.29</v>
      </c>
      <c r="G30" s="70"/>
      <c r="H30" s="70"/>
    </row>
    <row r="31" spans="1:8" ht="18" customHeight="1">
      <c r="A31" s="71" t="s">
        <v>19</v>
      </c>
      <c r="B31" s="72"/>
      <c r="C31" s="72"/>
      <c r="D31" s="73">
        <f>D25</f>
        <v>2011</v>
      </c>
      <c r="E31" s="73">
        <f>D31+1</f>
        <v>2012</v>
      </c>
      <c r="F31" s="73">
        <f>E31+1</f>
        <v>2013</v>
      </c>
      <c r="G31" s="70"/>
      <c r="H31" s="70"/>
    </row>
    <row r="32" spans="1:8" ht="12" customHeight="1">
      <c r="A32" s="96" t="s">
        <v>60</v>
      </c>
      <c r="B32" s="97"/>
      <c r="C32" s="74" t="s">
        <v>52</v>
      </c>
      <c r="D32" s="75">
        <f>HrsByYrAndCoachType!B53</f>
        <v>5736.816666666667</v>
      </c>
      <c r="E32" s="75">
        <f>HrsByYrAndCoachType!C53</f>
        <v>22909.783333333333</v>
      </c>
      <c r="F32" s="75">
        <f>HrsByYrAndCoachType!D53</f>
        <v>22851.833333333332</v>
      </c>
      <c r="G32" s="70"/>
      <c r="H32" s="70"/>
    </row>
    <row r="33" spans="1:8" ht="12" customHeight="1">
      <c r="A33" s="98"/>
      <c r="B33" s="99"/>
      <c r="C33" s="74" t="s">
        <v>53</v>
      </c>
      <c r="D33" s="75">
        <f>HrsByYrAndCoachType!B54</f>
        <v>-681.4500000000021</v>
      </c>
      <c r="E33" s="75">
        <f>HrsByYrAndCoachType!C54</f>
        <v>-2758.2500000000086</v>
      </c>
      <c r="F33" s="75">
        <f>HrsByYrAndCoachType!D54</f>
        <v>-2758.2500000000086</v>
      </c>
      <c r="G33" s="70"/>
      <c r="H33" s="70"/>
    </row>
    <row r="34" spans="1:8" ht="12" customHeight="1">
      <c r="A34" s="98"/>
      <c r="B34" s="99"/>
      <c r="C34" s="74" t="s">
        <v>54</v>
      </c>
      <c r="D34" s="75">
        <f>HrsByYrAndCoachType!B55</f>
        <v>1464.75</v>
      </c>
      <c r="E34" s="75">
        <f>HrsByYrAndCoachType!C55</f>
        <v>5928.75</v>
      </c>
      <c r="F34" s="75">
        <f>HrsByYrAndCoachType!D55</f>
        <v>5928.75</v>
      </c>
      <c r="G34" s="70"/>
      <c r="H34" s="70"/>
    </row>
    <row r="35" spans="1:8" ht="12" customHeight="1">
      <c r="A35" s="98"/>
      <c r="B35" s="99"/>
      <c r="C35" s="74" t="s">
        <v>21</v>
      </c>
      <c r="D35" s="75">
        <f>HrsByYrAndCoachType!B56</f>
        <v>1192.6</v>
      </c>
      <c r="E35" s="75">
        <f>HrsByYrAndCoachType!C56</f>
        <v>4392.033333333334</v>
      </c>
      <c r="F35" s="75">
        <f>HrsByYrAndCoachType!D56</f>
        <v>4381.966666666667</v>
      </c>
      <c r="G35" s="70"/>
      <c r="H35" s="70"/>
    </row>
    <row r="36" spans="1:8" ht="12" customHeight="1">
      <c r="A36" s="98"/>
      <c r="B36" s="99"/>
      <c r="C36" s="74" t="s">
        <v>55</v>
      </c>
      <c r="D36" s="75">
        <f>HrsByYrAndCoachType!B57</f>
        <v>-7709.849999999992</v>
      </c>
      <c r="E36" s="75">
        <f>HrsByYrAndCoachType!C57</f>
        <v>-30767.983333333308</v>
      </c>
      <c r="F36" s="75">
        <f>HrsByYrAndCoachType!D57</f>
        <v>-30759.066666666637</v>
      </c>
      <c r="G36" s="70"/>
      <c r="H36" s="70"/>
    </row>
    <row r="37" spans="1:8" ht="12" customHeight="1">
      <c r="A37" s="98"/>
      <c r="B37" s="99"/>
      <c r="C37" s="74" t="s">
        <v>56</v>
      </c>
      <c r="D37" s="75">
        <f>HrsByYrAndCoachType!B58</f>
        <v>-1247.4</v>
      </c>
      <c r="E37" s="75">
        <f>HrsByYrAndCoachType!C58</f>
        <v>-5049</v>
      </c>
      <c r="F37" s="75">
        <f>HrsByYrAndCoachType!D58</f>
        <v>-5049</v>
      </c>
      <c r="G37" s="70"/>
      <c r="H37" s="70"/>
    </row>
    <row r="38" spans="1:8" ht="12" customHeight="1">
      <c r="A38" s="99"/>
      <c r="B38" s="99"/>
      <c r="C38" s="74" t="s">
        <v>57</v>
      </c>
      <c r="D38" s="75">
        <f>HrsByYrAndCoachType!B59</f>
        <v>13725</v>
      </c>
      <c r="E38" s="75">
        <f>HrsByYrAndCoachType!C59</f>
        <v>54807</v>
      </c>
      <c r="F38" s="75">
        <f>HrsByYrAndCoachType!D59</f>
        <v>54690</v>
      </c>
      <c r="G38" s="70"/>
      <c r="H38" s="70"/>
    </row>
    <row r="39" spans="1:6" ht="16.5" customHeight="1">
      <c r="A39" s="76" t="s">
        <v>20</v>
      </c>
      <c r="B39" s="76"/>
      <c r="C39" s="77"/>
      <c r="D39" s="78">
        <f>SUM(D32:D38)</f>
        <v>12480.466666666673</v>
      </c>
      <c r="E39" s="78">
        <f>SUM(E32:E38)</f>
        <v>49462.33333333335</v>
      </c>
      <c r="F39" s="78">
        <f>SUM(F32:F38)</f>
        <v>49286.23333333335</v>
      </c>
    </row>
    <row r="40" spans="1:6" ht="12" customHeight="1">
      <c r="A40" s="100" t="s">
        <v>58</v>
      </c>
      <c r="B40" s="100"/>
      <c r="C40" s="81" t="s">
        <v>52</v>
      </c>
      <c r="D40" s="79">
        <f>costs!B8</f>
        <v>86.32191202250466</v>
      </c>
      <c r="E40" s="79">
        <f aca="true" t="shared" si="0" ref="E40:F46">D40*1.038</f>
        <v>89.60214467935984</v>
      </c>
      <c r="F40" s="79">
        <f t="shared" si="0"/>
        <v>93.00702617717552</v>
      </c>
    </row>
    <row r="41" spans="1:6" ht="12" customHeight="1">
      <c r="A41" s="101"/>
      <c r="B41" s="101"/>
      <c r="C41" s="74" t="s">
        <v>53</v>
      </c>
      <c r="D41" s="79">
        <f>costs!B7</f>
        <v>85.31613656957623</v>
      </c>
      <c r="E41" s="79">
        <f t="shared" si="0"/>
        <v>88.55814975922013</v>
      </c>
      <c r="F41" s="79">
        <f t="shared" si="0"/>
        <v>91.92335945007049</v>
      </c>
    </row>
    <row r="42" spans="1:6" ht="12" customHeight="1">
      <c r="A42" s="101"/>
      <c r="B42" s="101"/>
      <c r="C42" s="74" t="s">
        <v>54</v>
      </c>
      <c r="D42" s="79">
        <f>costs!B5</f>
        <v>104.14079612034588</v>
      </c>
      <c r="E42" s="79">
        <f t="shared" si="0"/>
        <v>108.09814637291903</v>
      </c>
      <c r="F42" s="79">
        <f t="shared" si="0"/>
        <v>112.20587593508996</v>
      </c>
    </row>
    <row r="43" spans="1:6" ht="12" customHeight="1">
      <c r="A43" s="101"/>
      <c r="B43" s="101"/>
      <c r="C43" s="74" t="s">
        <v>21</v>
      </c>
      <c r="D43" s="79">
        <f>costs!B11</f>
        <v>102.29993173502831</v>
      </c>
      <c r="E43" s="79">
        <f t="shared" si="0"/>
        <v>106.18732914095939</v>
      </c>
      <c r="F43" s="79">
        <f t="shared" si="0"/>
        <v>110.22244764831585</v>
      </c>
    </row>
    <row r="44" spans="1:6" ht="12" customHeight="1">
      <c r="A44" s="101"/>
      <c r="B44" s="101"/>
      <c r="C44" s="74" t="s">
        <v>55</v>
      </c>
      <c r="D44" s="79">
        <f>costs!B9</f>
        <v>88.61192634465573</v>
      </c>
      <c r="E44" s="79">
        <f t="shared" si="0"/>
        <v>91.97917954575264</v>
      </c>
      <c r="F44" s="79">
        <f t="shared" si="0"/>
        <v>95.47438836849125</v>
      </c>
    </row>
    <row r="45" spans="1:6" ht="12" customHeight="1">
      <c r="A45" s="101"/>
      <c r="B45" s="101"/>
      <c r="C45" s="74" t="s">
        <v>56</v>
      </c>
      <c r="D45" s="79">
        <f>costs!B14</f>
        <v>78.38387280533998</v>
      </c>
      <c r="E45" s="79">
        <f t="shared" si="0"/>
        <v>81.3624599719429</v>
      </c>
      <c r="F45" s="79">
        <f t="shared" si="0"/>
        <v>84.45423345087673</v>
      </c>
    </row>
    <row r="46" spans="1:6" ht="12" customHeight="1">
      <c r="A46" s="101"/>
      <c r="B46" s="101"/>
      <c r="C46" s="74" t="s">
        <v>57</v>
      </c>
      <c r="D46" s="79">
        <f>costs!B11</f>
        <v>102.29993173502831</v>
      </c>
      <c r="E46" s="79">
        <f t="shared" si="0"/>
        <v>106.18732914095939</v>
      </c>
      <c r="F46" s="79">
        <f t="shared" si="0"/>
        <v>110.22244764831585</v>
      </c>
    </row>
    <row r="47" spans="1:6" ht="12.75">
      <c r="A47" s="102" t="s">
        <v>43</v>
      </c>
      <c r="B47" s="97"/>
      <c r="C47" s="81" t="str">
        <f>C40</f>
        <v>Small Bus</v>
      </c>
      <c r="D47" s="80">
        <f aca="true" t="shared" si="1" ref="D47:F51">0.75*D40</f>
        <v>64.7414340168785</v>
      </c>
      <c r="E47" s="80">
        <f t="shared" si="1"/>
        <v>67.20160850951987</v>
      </c>
      <c r="F47" s="80">
        <f t="shared" si="1"/>
        <v>69.75526963288164</v>
      </c>
    </row>
    <row r="48" spans="1:6" ht="12.75">
      <c r="A48" s="103"/>
      <c r="B48" s="99"/>
      <c r="C48" s="74" t="str">
        <f>C41</f>
        <v>Transit Van</v>
      </c>
      <c r="D48" s="79">
        <f t="shared" si="1"/>
        <v>63.98710242718217</v>
      </c>
      <c r="E48" s="79">
        <f t="shared" si="1"/>
        <v>66.4186123194151</v>
      </c>
      <c r="F48" s="79">
        <f t="shared" si="1"/>
        <v>68.94251958755287</v>
      </c>
    </row>
    <row r="49" spans="1:6" ht="12.75">
      <c r="A49" s="103"/>
      <c r="B49" s="99"/>
      <c r="C49" s="74" t="str">
        <f>C42</f>
        <v>Diesel Artic</v>
      </c>
      <c r="D49" s="79">
        <f t="shared" si="1"/>
        <v>78.10559709025941</v>
      </c>
      <c r="E49" s="79">
        <f t="shared" si="1"/>
        <v>81.07360977968928</v>
      </c>
      <c r="F49" s="79">
        <f t="shared" si="1"/>
        <v>84.15440695131747</v>
      </c>
    </row>
    <row r="50" spans="1:6" ht="12.75">
      <c r="A50" s="103"/>
      <c r="B50" s="99"/>
      <c r="C50" s="74" t="str">
        <f>C43</f>
        <v>Hybrid</v>
      </c>
      <c r="D50" s="79">
        <f t="shared" si="1"/>
        <v>76.72494880127124</v>
      </c>
      <c r="E50" s="79">
        <f t="shared" si="1"/>
        <v>79.64049685571955</v>
      </c>
      <c r="F50" s="79">
        <f t="shared" si="1"/>
        <v>82.66683573623689</v>
      </c>
    </row>
    <row r="51" spans="1:6" ht="12.75">
      <c r="A51" s="103"/>
      <c r="B51" s="99"/>
      <c r="C51" s="74" t="str">
        <f>C44</f>
        <v>Diesel Standard</v>
      </c>
      <c r="D51" s="79">
        <f t="shared" si="1"/>
        <v>66.4589447584918</v>
      </c>
      <c r="E51" s="79">
        <f t="shared" si="1"/>
        <v>68.98438465931449</v>
      </c>
      <c r="F51" s="79">
        <f t="shared" si="1"/>
        <v>71.60579127636844</v>
      </c>
    </row>
    <row r="52" spans="1:6" ht="12.75">
      <c r="A52" s="103"/>
      <c r="B52" s="99"/>
      <c r="C52" s="74" t="str">
        <f>C46</f>
        <v>Rapid Ride Coach</v>
      </c>
      <c r="D52" s="79">
        <f>0.75*D46</f>
        <v>76.72494880127124</v>
      </c>
      <c r="E52" s="79">
        <f>0.75*E46</f>
        <v>79.64049685571955</v>
      </c>
      <c r="F52" s="79">
        <f>0.75*F46</f>
        <v>82.66683573623689</v>
      </c>
    </row>
    <row r="53" spans="1:6" ht="12" customHeight="1">
      <c r="A53" s="106" t="s">
        <v>59</v>
      </c>
      <c r="B53" s="106"/>
      <c r="C53" s="106"/>
      <c r="D53" s="106"/>
      <c r="E53" s="106"/>
      <c r="F53" s="106"/>
    </row>
    <row r="54" spans="1:6" ht="12" customHeight="1">
      <c r="A54" s="106"/>
      <c r="B54" s="106"/>
      <c r="C54" s="106"/>
      <c r="D54" s="106"/>
      <c r="E54" s="106"/>
      <c r="F54" s="106"/>
    </row>
    <row r="55" spans="1:6" ht="12.75">
      <c r="A55" s="93"/>
      <c r="B55" s="93"/>
      <c r="C55" s="93"/>
      <c r="D55" s="93"/>
      <c r="E55" s="93"/>
      <c r="F55" s="93"/>
    </row>
    <row r="56" ht="12.75">
      <c r="A56" s="90" t="s">
        <v>63</v>
      </c>
    </row>
  </sheetData>
  <sheetProtection/>
  <mergeCells count="8">
    <mergeCell ref="A3:C3"/>
    <mergeCell ref="A55:F55"/>
    <mergeCell ref="A5:B5"/>
    <mergeCell ref="A32:B38"/>
    <mergeCell ref="A40:B46"/>
    <mergeCell ref="A47:B52"/>
    <mergeCell ref="A4:F4"/>
    <mergeCell ref="A53:F54"/>
  </mergeCells>
  <printOptions horizontalCentered="1"/>
  <pageMargins left="0.5" right="0.5" top="0.52" bottom="0.82" header="0.23" footer="0.5"/>
  <pageSetup fitToHeight="1" fitToWidth="1" horizontalDpi="600" verticalDpi="600" orientation="portrait" scale="91" r:id="rId1"/>
  <headerFooter alignWithMargins="0">
    <oddFooter>&amp;R&amp;F</oddFooter>
  </headerFooter>
</worksheet>
</file>

<file path=xl/worksheets/sheet2.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9.140625" defaultRowHeight="12.75"/>
  <sheetData>
    <row r="1" spans="1:3" ht="13.5">
      <c r="A1" s="82"/>
      <c r="B1" s="83" t="s">
        <v>24</v>
      </c>
      <c r="C1" s="83" t="s">
        <v>24</v>
      </c>
    </row>
    <row r="2" spans="1:3" ht="13.5">
      <c r="A2" s="82"/>
      <c r="B2" s="83" t="s">
        <v>25</v>
      </c>
      <c r="C2" s="83" t="s">
        <v>36</v>
      </c>
    </row>
    <row r="3" spans="1:3" ht="13.5">
      <c r="A3" s="84" t="s">
        <v>26</v>
      </c>
      <c r="B3" s="85">
        <f>'[1]2010budget'!$B5</f>
        <v>93.54263188994223</v>
      </c>
      <c r="C3" s="85">
        <f>'[1]2010budget'!$E5</f>
        <v>134.0222158842407</v>
      </c>
    </row>
    <row r="4" spans="1:3" ht="13.5">
      <c r="A4" s="84" t="s">
        <v>27</v>
      </c>
      <c r="B4" s="85">
        <f>'[1]2010budget'!$B6</f>
        <v>96.73067284117728</v>
      </c>
      <c r="C4" s="85">
        <f>'[1]2010budget'!$E6</f>
        <v>134.71429470960533</v>
      </c>
    </row>
    <row r="5" spans="1:3" ht="13.5">
      <c r="A5" s="84" t="s">
        <v>28</v>
      </c>
      <c r="B5" s="85">
        <f>'[1]2010budget'!$B7</f>
        <v>104.14079612034588</v>
      </c>
      <c r="C5" s="85">
        <f>'[1]2010budget'!$E7</f>
        <v>142.5981310816193</v>
      </c>
    </row>
    <row r="6" spans="1:3" ht="13.5">
      <c r="A6" s="84" t="s">
        <v>29</v>
      </c>
      <c r="B6" s="85">
        <f>'[1]2010budget'!$B8</f>
        <v>81.883666013505</v>
      </c>
      <c r="C6" s="85">
        <f>'[1]2010budget'!$E8</f>
        <v>128.98698522568827</v>
      </c>
    </row>
    <row r="7" spans="1:3" ht="13.5">
      <c r="A7" s="84" t="s">
        <v>30</v>
      </c>
      <c r="B7" s="85">
        <f>'[1]2010budget'!$B9</f>
        <v>85.31613656957623</v>
      </c>
      <c r="C7" s="85">
        <f>'[1]2010budget'!$E9</f>
        <v>122.87270790635013</v>
      </c>
    </row>
    <row r="8" spans="1:3" ht="13.5">
      <c r="A8" s="84" t="s">
        <v>31</v>
      </c>
      <c r="B8" s="85">
        <f>'[1]2010budget'!$B10</f>
        <v>86.32191202250466</v>
      </c>
      <c r="C8" s="85">
        <f>'[1]2010budget'!$E10</f>
        <v>123.65857366891713</v>
      </c>
    </row>
    <row r="9" spans="1:3" ht="13.5">
      <c r="A9" s="84" t="s">
        <v>32</v>
      </c>
      <c r="B9" s="85">
        <f>'[1]2010budget'!$B11</f>
        <v>88.61192634465573</v>
      </c>
      <c r="C9" s="85">
        <f>'[1]2010budget'!$E11</f>
        <v>126.07653437647105</v>
      </c>
    </row>
    <row r="10" spans="1:3" ht="13.5">
      <c r="A10" s="84" t="s">
        <v>33</v>
      </c>
      <c r="B10" s="85">
        <f>'[1]2010budget'!$B12</f>
        <v>106.34525817475027</v>
      </c>
      <c r="C10" s="85">
        <f>'[1]2010budget'!$E12</f>
        <v>145.0492645952139</v>
      </c>
    </row>
    <row r="11" spans="1:3" ht="13.5">
      <c r="A11" s="84" t="s">
        <v>21</v>
      </c>
      <c r="B11" s="85">
        <f>'[1]2010budget'!$B13</f>
        <v>102.29993173502831</v>
      </c>
      <c r="C11" s="85">
        <f>'[1]2010budget'!$E13</f>
        <v>140.55128052240025</v>
      </c>
    </row>
    <row r="12" spans="1:3" ht="13.5">
      <c r="A12" s="84" t="s">
        <v>34</v>
      </c>
      <c r="B12" s="85">
        <f>'[1]2010budget'!$B14</f>
        <v>77.01226756276193</v>
      </c>
      <c r="C12" s="85">
        <f>'[1]2010budget'!$E14</f>
        <v>123.68792883856779</v>
      </c>
    </row>
    <row r="13" spans="1:3" ht="13.5">
      <c r="A13" s="84" t="s">
        <v>35</v>
      </c>
      <c r="B13" s="85">
        <f>'[1]2010budget'!$B15</f>
        <v>90.92285224180505</v>
      </c>
      <c r="C13" s="85">
        <f>'[1]2010budget'!$E15</f>
        <v>138.81971765391705</v>
      </c>
    </row>
    <row r="14" spans="1:3" ht="13.5">
      <c r="A14" s="84" t="s">
        <v>22</v>
      </c>
      <c r="B14" s="85">
        <f>'[1]2010budget'!$B16</f>
        <v>78.38387280533998</v>
      </c>
      <c r="C14" s="85">
        <f>'[1]2010budget'!$E16</f>
        <v>98.43481872365481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9"/>
  <sheetViews>
    <sheetView zoomScalePageLayoutView="0" workbookViewId="0" topLeftCell="A1">
      <selection activeCell="D2" sqref="D2:D6"/>
    </sheetView>
  </sheetViews>
  <sheetFormatPr defaultColWidth="9.140625" defaultRowHeight="12.75"/>
  <sheetData>
    <row r="1" spans="1:4" ht="12.75">
      <c r="A1" t="s">
        <v>23</v>
      </c>
      <c r="B1" t="s">
        <v>38</v>
      </c>
      <c r="C1" t="s">
        <v>39</v>
      </c>
      <c r="D1" t="s">
        <v>50</v>
      </c>
    </row>
    <row r="2" spans="1:4" ht="12.75">
      <c r="A2">
        <v>54</v>
      </c>
      <c r="B2">
        <v>0</v>
      </c>
      <c r="C2">
        <v>23</v>
      </c>
      <c r="D2">
        <v>41.2833333333333</v>
      </c>
    </row>
    <row r="3" spans="1:4" ht="12.75">
      <c r="A3">
        <v>54</v>
      </c>
      <c r="B3">
        <v>0</v>
      </c>
      <c r="C3">
        <v>26</v>
      </c>
      <c r="D3">
        <v>51.8333333333333</v>
      </c>
    </row>
    <row r="4" spans="1:4" ht="12.75">
      <c r="A4">
        <v>54</v>
      </c>
      <c r="B4">
        <v>0</v>
      </c>
      <c r="C4">
        <v>32</v>
      </c>
      <c r="D4">
        <v>27.6833333333333</v>
      </c>
    </row>
    <row r="5" spans="1:4" ht="12.75">
      <c r="A5">
        <v>54</v>
      </c>
      <c r="B5">
        <v>1</v>
      </c>
      <c r="C5">
        <v>26</v>
      </c>
      <c r="D5">
        <v>61.45</v>
      </c>
    </row>
    <row r="6" spans="1:4" ht="12.75">
      <c r="A6">
        <v>54</v>
      </c>
      <c r="B6">
        <v>1</v>
      </c>
      <c r="C6">
        <v>32</v>
      </c>
      <c r="D6">
        <v>5.45</v>
      </c>
    </row>
    <row r="7" spans="1:4" ht="12.75">
      <c r="A7">
        <v>222</v>
      </c>
      <c r="B7">
        <v>0</v>
      </c>
      <c r="C7">
        <v>11</v>
      </c>
      <c r="D7">
        <v>47.1666666666667</v>
      </c>
    </row>
    <row r="8" spans="1:4" ht="12.75">
      <c r="A8">
        <v>222</v>
      </c>
      <c r="B8">
        <v>1</v>
      </c>
      <c r="C8">
        <v>11</v>
      </c>
      <c r="D8">
        <v>36</v>
      </c>
    </row>
    <row r="9" spans="1:4" ht="12.75">
      <c r="A9">
        <v>222</v>
      </c>
      <c r="B9">
        <v>2</v>
      </c>
      <c r="C9">
        <v>11</v>
      </c>
      <c r="D9">
        <v>26.5</v>
      </c>
    </row>
    <row r="10" spans="1:4" ht="12.75">
      <c r="A10">
        <v>225</v>
      </c>
      <c r="B10">
        <v>0</v>
      </c>
      <c r="C10">
        <v>26</v>
      </c>
      <c r="D10">
        <v>8.63333333333333</v>
      </c>
    </row>
    <row r="11" spans="1:4" ht="12.75">
      <c r="A11">
        <v>229</v>
      </c>
      <c r="B11">
        <v>0</v>
      </c>
      <c r="C11">
        <v>26</v>
      </c>
      <c r="D11">
        <v>13.0166666666667</v>
      </c>
    </row>
    <row r="12" spans="1:4" ht="12.75">
      <c r="A12">
        <v>230</v>
      </c>
      <c r="B12">
        <v>0</v>
      </c>
      <c r="C12">
        <v>11</v>
      </c>
      <c r="D12">
        <v>0.916666666666667</v>
      </c>
    </row>
    <row r="13" spans="1:4" ht="12.75">
      <c r="A13">
        <v>230</v>
      </c>
      <c r="B13">
        <v>0</v>
      </c>
      <c r="C13">
        <v>32</v>
      </c>
      <c r="D13">
        <v>62.3</v>
      </c>
    </row>
    <row r="14" spans="1:4" ht="12.75">
      <c r="A14">
        <v>230</v>
      </c>
      <c r="B14">
        <v>1</v>
      </c>
      <c r="C14">
        <v>32</v>
      </c>
      <c r="D14">
        <v>51.9333333333333</v>
      </c>
    </row>
    <row r="15" spans="1:4" ht="12.75">
      <c r="A15">
        <v>230</v>
      </c>
      <c r="B15">
        <v>2</v>
      </c>
      <c r="C15">
        <v>32</v>
      </c>
      <c r="D15">
        <v>31.05</v>
      </c>
    </row>
    <row r="16" spans="1:4" ht="12.75">
      <c r="A16">
        <v>233</v>
      </c>
      <c r="B16">
        <v>0</v>
      </c>
      <c r="C16">
        <v>11</v>
      </c>
      <c r="D16">
        <v>40.15</v>
      </c>
    </row>
    <row r="17" spans="1:4" ht="12.75">
      <c r="A17">
        <v>233</v>
      </c>
      <c r="B17">
        <v>1</v>
      </c>
      <c r="C17">
        <v>11</v>
      </c>
      <c r="D17">
        <v>16.3333333333333</v>
      </c>
    </row>
    <row r="18" spans="1:4" ht="12.75">
      <c r="A18">
        <v>240</v>
      </c>
      <c r="B18">
        <v>0</v>
      </c>
      <c r="C18">
        <v>32</v>
      </c>
      <c r="D18">
        <v>92.9333333333334</v>
      </c>
    </row>
    <row r="19" spans="1:4" ht="12.75">
      <c r="A19">
        <v>240</v>
      </c>
      <c r="B19">
        <v>1</v>
      </c>
      <c r="C19">
        <v>32</v>
      </c>
      <c r="D19">
        <v>84.7333333333333</v>
      </c>
    </row>
    <row r="20" spans="1:4" ht="12.75">
      <c r="A20">
        <v>240</v>
      </c>
      <c r="B20">
        <v>2</v>
      </c>
      <c r="C20">
        <v>32</v>
      </c>
      <c r="D20">
        <v>47.8166666666667</v>
      </c>
    </row>
    <row r="21" spans="1:4" ht="12.75">
      <c r="A21">
        <v>245</v>
      </c>
      <c r="B21">
        <v>0</v>
      </c>
      <c r="C21">
        <v>32</v>
      </c>
      <c r="D21">
        <v>131.55</v>
      </c>
    </row>
    <row r="22" spans="1:4" ht="12.75">
      <c r="A22">
        <v>245</v>
      </c>
      <c r="B22">
        <v>1</v>
      </c>
      <c r="C22">
        <v>32</v>
      </c>
      <c r="D22">
        <v>65.7</v>
      </c>
    </row>
    <row r="23" spans="1:4" ht="12.75">
      <c r="A23">
        <v>245</v>
      </c>
      <c r="B23">
        <v>2</v>
      </c>
      <c r="C23">
        <v>11</v>
      </c>
      <c r="D23">
        <v>9.16666666666667</v>
      </c>
    </row>
    <row r="24" spans="1:4" ht="12.75">
      <c r="A24">
        <v>245</v>
      </c>
      <c r="B24">
        <v>2</v>
      </c>
      <c r="C24">
        <v>32</v>
      </c>
      <c r="D24">
        <v>48.6666666666667</v>
      </c>
    </row>
    <row r="25" spans="1:4" ht="12.75">
      <c r="A25">
        <v>246</v>
      </c>
      <c r="B25">
        <v>0</v>
      </c>
      <c r="C25">
        <v>19</v>
      </c>
      <c r="D25">
        <v>32.7166666666667</v>
      </c>
    </row>
    <row r="26" spans="1:4" ht="12.75">
      <c r="A26">
        <v>246</v>
      </c>
      <c r="B26">
        <v>0</v>
      </c>
      <c r="C26">
        <v>32</v>
      </c>
      <c r="D26">
        <v>0.816666666666667</v>
      </c>
    </row>
    <row r="27" spans="1:4" ht="12.75">
      <c r="A27">
        <v>247</v>
      </c>
      <c r="B27">
        <v>0</v>
      </c>
      <c r="C27">
        <v>19</v>
      </c>
      <c r="D27">
        <v>10.8166666666667</v>
      </c>
    </row>
    <row r="28" spans="1:6" ht="12.75">
      <c r="A28">
        <v>249</v>
      </c>
      <c r="B28">
        <v>0</v>
      </c>
      <c r="C28">
        <v>11</v>
      </c>
      <c r="D28">
        <v>26.2666666666667</v>
      </c>
      <c r="E28">
        <f>255*(D28+D29)</f>
        <v>10799.25</v>
      </c>
      <c r="F28">
        <f>E28+E30</f>
        <v>11886.916666666668</v>
      </c>
    </row>
    <row r="29" spans="1:4" ht="12.75">
      <c r="A29">
        <v>249</v>
      </c>
      <c r="B29">
        <v>0</v>
      </c>
      <c r="C29">
        <v>19</v>
      </c>
      <c r="D29">
        <v>16.0833333333333</v>
      </c>
    </row>
    <row r="30" spans="1:5" ht="12.75">
      <c r="A30">
        <v>249</v>
      </c>
      <c r="B30">
        <v>1</v>
      </c>
      <c r="C30">
        <v>11</v>
      </c>
      <c r="D30">
        <v>20.9166666666667</v>
      </c>
      <c r="E30">
        <f>52*D30</f>
        <v>1087.6666666666683</v>
      </c>
    </row>
    <row r="31" spans="1:4" ht="12.75">
      <c r="A31">
        <v>253</v>
      </c>
      <c r="B31">
        <v>0</v>
      </c>
      <c r="C31">
        <v>32</v>
      </c>
      <c r="D31">
        <v>82.6833333333333</v>
      </c>
    </row>
    <row r="32" spans="1:4" ht="12.75">
      <c r="A32">
        <v>253</v>
      </c>
      <c r="B32">
        <v>1</v>
      </c>
      <c r="C32">
        <v>32</v>
      </c>
      <c r="D32">
        <v>64.6833333333333</v>
      </c>
    </row>
    <row r="33" spans="1:4" ht="12.75">
      <c r="A33">
        <v>253</v>
      </c>
      <c r="B33">
        <v>2</v>
      </c>
      <c r="C33">
        <v>32</v>
      </c>
      <c r="D33">
        <v>34.5166666666667</v>
      </c>
    </row>
    <row r="34" spans="1:4" ht="12.75">
      <c r="A34">
        <v>255</v>
      </c>
      <c r="B34">
        <v>0</v>
      </c>
      <c r="C34">
        <v>26</v>
      </c>
      <c r="D34">
        <v>174.233333333334</v>
      </c>
    </row>
    <row r="35" spans="1:4" ht="12.75">
      <c r="A35">
        <v>255</v>
      </c>
      <c r="B35">
        <v>1</v>
      </c>
      <c r="C35">
        <v>26</v>
      </c>
      <c r="D35">
        <v>85.05</v>
      </c>
    </row>
    <row r="36" spans="1:4" ht="12.75">
      <c r="A36">
        <v>255</v>
      </c>
      <c r="B36">
        <v>2</v>
      </c>
      <c r="C36">
        <v>26</v>
      </c>
      <c r="D36">
        <v>78.6</v>
      </c>
    </row>
    <row r="37" spans="1:4" ht="12.75">
      <c r="A37">
        <v>256</v>
      </c>
      <c r="B37">
        <v>0</v>
      </c>
      <c r="C37">
        <v>26</v>
      </c>
      <c r="D37">
        <v>13.1333333333333</v>
      </c>
    </row>
    <row r="38" spans="1:4" ht="12.75">
      <c r="A38">
        <v>261</v>
      </c>
      <c r="B38">
        <v>0</v>
      </c>
      <c r="C38">
        <v>23</v>
      </c>
      <c r="D38">
        <v>2</v>
      </c>
    </row>
    <row r="39" spans="1:4" ht="12.75">
      <c r="A39">
        <v>261</v>
      </c>
      <c r="B39">
        <v>0</v>
      </c>
      <c r="C39">
        <v>26</v>
      </c>
      <c r="D39">
        <v>1.08333333333333</v>
      </c>
    </row>
    <row r="40" spans="1:4" ht="12.75">
      <c r="A40">
        <v>261</v>
      </c>
      <c r="B40">
        <v>0</v>
      </c>
      <c r="C40">
        <v>32</v>
      </c>
      <c r="D40">
        <v>13.55</v>
      </c>
    </row>
    <row r="41" spans="1:4" ht="12.75">
      <c r="A41">
        <v>266</v>
      </c>
      <c r="B41">
        <v>0</v>
      </c>
      <c r="C41">
        <v>23</v>
      </c>
      <c r="D41">
        <v>4.35</v>
      </c>
    </row>
    <row r="42" spans="1:4" ht="12.75">
      <c r="A42">
        <v>266</v>
      </c>
      <c r="B42">
        <v>0</v>
      </c>
      <c r="C42">
        <v>32</v>
      </c>
      <c r="D42">
        <v>14.5833333333333</v>
      </c>
    </row>
    <row r="43" spans="1:4" ht="12.75">
      <c r="A43">
        <v>271</v>
      </c>
      <c r="B43">
        <v>0</v>
      </c>
      <c r="C43">
        <v>32</v>
      </c>
      <c r="D43">
        <v>201.716666666667</v>
      </c>
    </row>
    <row r="44" spans="1:4" ht="12.75">
      <c r="A44">
        <v>271</v>
      </c>
      <c r="B44">
        <v>1</v>
      </c>
      <c r="C44">
        <v>32</v>
      </c>
      <c r="D44">
        <v>92.05</v>
      </c>
    </row>
    <row r="45" spans="1:4" ht="12.75">
      <c r="A45">
        <v>271</v>
      </c>
      <c r="B45">
        <v>2</v>
      </c>
      <c r="C45">
        <v>32</v>
      </c>
      <c r="D45">
        <v>59.5166666666666</v>
      </c>
    </row>
    <row r="46" spans="1:4" ht="12.75">
      <c r="A46">
        <v>272</v>
      </c>
      <c r="B46">
        <v>0</v>
      </c>
      <c r="C46">
        <v>23</v>
      </c>
      <c r="D46">
        <v>5.25</v>
      </c>
    </row>
    <row r="47" spans="1:4" ht="12.75">
      <c r="A47">
        <v>272</v>
      </c>
      <c r="B47">
        <v>0</v>
      </c>
      <c r="C47">
        <v>26</v>
      </c>
      <c r="D47">
        <v>1.96666666666667</v>
      </c>
    </row>
    <row r="48" spans="1:4" ht="12.75">
      <c r="A48">
        <v>272</v>
      </c>
      <c r="B48">
        <v>0</v>
      </c>
      <c r="C48">
        <v>32</v>
      </c>
      <c r="D48">
        <v>14.8333333333333</v>
      </c>
    </row>
    <row r="49" spans="1:4" ht="12.75">
      <c r="A49">
        <v>926</v>
      </c>
      <c r="B49">
        <v>0</v>
      </c>
      <c r="C49">
        <v>57</v>
      </c>
      <c r="D49">
        <v>19.8</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60"/>
  <sheetViews>
    <sheetView zoomScalePageLayoutView="0" workbookViewId="0" topLeftCell="A43">
      <selection activeCell="B53" sqref="B53:D59"/>
    </sheetView>
  </sheetViews>
  <sheetFormatPr defaultColWidth="9.140625" defaultRowHeight="12.75"/>
  <cols>
    <col min="1" max="1" width="10.28125" style="0" bestFit="1" customWidth="1"/>
    <col min="5" max="5" width="9.140625" style="86" customWidth="1"/>
  </cols>
  <sheetData>
    <row r="1" spans="1:10" ht="12.75">
      <c r="A1" t="s">
        <v>23</v>
      </c>
      <c r="B1" t="s">
        <v>46</v>
      </c>
      <c r="C1" t="s">
        <v>38</v>
      </c>
      <c r="D1" t="s">
        <v>39</v>
      </c>
      <c r="E1" s="86" t="s">
        <v>48</v>
      </c>
      <c r="F1" t="s">
        <v>40</v>
      </c>
      <c r="G1" t="s">
        <v>41</v>
      </c>
      <c r="H1" t="s">
        <v>42</v>
      </c>
      <c r="I1" t="s">
        <v>49</v>
      </c>
      <c r="J1" t="s">
        <v>51</v>
      </c>
    </row>
    <row r="2" spans="1:11" ht="12.75">
      <c r="A2">
        <v>54</v>
      </c>
      <c r="C2">
        <v>0</v>
      </c>
      <c r="D2">
        <v>23</v>
      </c>
      <c r="E2" s="86">
        <f>ROUND(60*(14500/255)*'113Hrs'!D2/SUM('113Hrs'!D$2:D$4),0)/60</f>
        <v>19.433333333333334</v>
      </c>
      <c r="F2" s="88">
        <f aca="true" t="shared" si="0" ref="F2:F11">IF($C2=0,63*$E2,IF($C2=1,14*$E2,15*$E2))</f>
        <v>1224.3</v>
      </c>
      <c r="G2" s="88">
        <f aca="true" t="shared" si="1" ref="G2:G11">IF($C2=0,255*$E2,IF($C2=1,52*$E2,59*$E2))</f>
        <v>4955.5</v>
      </c>
      <c r="H2" s="88">
        <f aca="true" t="shared" si="2" ref="H2:I6">IF($C2=0,255*$E2,IF($C2=1,52*$E2,58*$E2))</f>
        <v>4955.5</v>
      </c>
      <c r="I2" s="88">
        <f t="shared" si="2"/>
        <v>4955.5</v>
      </c>
      <c r="K2" s="88"/>
    </row>
    <row r="3" spans="1:9" ht="12.75">
      <c r="A3">
        <v>54</v>
      </c>
      <c r="C3">
        <v>0</v>
      </c>
      <c r="D3">
        <v>26</v>
      </c>
      <c r="E3" s="86">
        <f>ROUND(60*(14500/255)*'113Hrs'!D3/SUM('113Hrs'!D$2:D$4),0)/60</f>
        <v>24.4</v>
      </c>
      <c r="F3" s="88">
        <f t="shared" si="0"/>
        <v>1537.1999999999998</v>
      </c>
      <c r="G3" s="88">
        <f t="shared" si="1"/>
        <v>6222</v>
      </c>
      <c r="H3" s="88">
        <f t="shared" si="2"/>
        <v>6222</v>
      </c>
      <c r="I3" s="88">
        <f t="shared" si="2"/>
        <v>6222</v>
      </c>
    </row>
    <row r="4" spans="1:9" ht="12.75">
      <c r="A4">
        <v>54</v>
      </c>
      <c r="C4">
        <v>0</v>
      </c>
      <c r="D4">
        <v>32</v>
      </c>
      <c r="E4" s="86">
        <f>ROUND(60*(14500/255)*'113Hrs'!D4/SUM('113Hrs'!D$2:D$4),0)/60</f>
        <v>13.033333333333333</v>
      </c>
      <c r="F4" s="88">
        <f t="shared" si="0"/>
        <v>821.1</v>
      </c>
      <c r="G4" s="88">
        <f t="shared" si="1"/>
        <v>3323.5</v>
      </c>
      <c r="H4" s="88">
        <f t="shared" si="2"/>
        <v>3323.5</v>
      </c>
      <c r="I4" s="88">
        <f t="shared" si="2"/>
        <v>3323.5</v>
      </c>
    </row>
    <row r="5" spans="1:9" ht="12.75">
      <c r="A5">
        <v>54</v>
      </c>
      <c r="C5">
        <v>1</v>
      </c>
      <c r="D5">
        <v>26</v>
      </c>
      <c r="E5" s="86">
        <f>ROUND(60*(4500/52)*'113Hrs'!D5/SUM('113Hrs'!D$5:D$6),0)/60</f>
        <v>79.48333333333333</v>
      </c>
      <c r="F5" s="88">
        <f t="shared" si="0"/>
        <v>1112.7666666666667</v>
      </c>
      <c r="G5" s="88">
        <f t="shared" si="1"/>
        <v>4133.133333333333</v>
      </c>
      <c r="H5" s="88">
        <f t="shared" si="2"/>
        <v>4133.133333333333</v>
      </c>
      <c r="I5" s="88">
        <f t="shared" si="2"/>
        <v>4133.133333333333</v>
      </c>
    </row>
    <row r="6" spans="1:9" ht="12.75">
      <c r="A6">
        <v>54</v>
      </c>
      <c r="C6">
        <v>1</v>
      </c>
      <c r="D6">
        <v>32</v>
      </c>
      <c r="E6" s="86">
        <f>ROUND(60*(4500/52)*'113Hrs'!D6/SUM('113Hrs'!D$5:D$6),0)/60</f>
        <v>7.05</v>
      </c>
      <c r="F6" s="88">
        <f t="shared" si="0"/>
        <v>98.7</v>
      </c>
      <c r="G6" s="88">
        <f t="shared" si="1"/>
        <v>366.59999999999997</v>
      </c>
      <c r="H6" s="88">
        <f t="shared" si="2"/>
        <v>366.59999999999997</v>
      </c>
      <c r="I6" s="88">
        <f t="shared" si="2"/>
        <v>366.59999999999997</v>
      </c>
    </row>
    <row r="7" spans="1:13" ht="12.75">
      <c r="A7">
        <v>225</v>
      </c>
      <c r="C7">
        <v>0</v>
      </c>
      <c r="D7">
        <v>26</v>
      </c>
      <c r="E7" s="86">
        <f>-'113Hrs'!D10</f>
        <v>-8.63333333333333</v>
      </c>
      <c r="F7" s="88">
        <f t="shared" si="0"/>
        <v>-543.8999999999997</v>
      </c>
      <c r="G7" s="88">
        <f t="shared" si="1"/>
        <v>-2201.499999999999</v>
      </c>
      <c r="H7" s="88">
        <f aca="true" t="shared" si="3" ref="H7:I11">IF($C7=0,255*$E7,IF($C7=1,52*$E7,58*$E7))</f>
        <v>-2201.499999999999</v>
      </c>
      <c r="I7" s="88">
        <f t="shared" si="3"/>
        <v>-2201.499999999999</v>
      </c>
      <c r="J7" s="88">
        <f>SUM(I$7:I7)</f>
        <v>-2201.499999999999</v>
      </c>
      <c r="K7" s="88">
        <f>SUM(I7:I26)-I19</f>
        <v>-73391.68333333332</v>
      </c>
      <c r="L7" s="88">
        <f>SUM(I30:I48)</f>
        <v>46751.68333333334</v>
      </c>
      <c r="M7" s="88">
        <f>I19</f>
        <v>-5049</v>
      </c>
    </row>
    <row r="8" spans="1:13" ht="12.75">
      <c r="A8">
        <v>229</v>
      </c>
      <c r="C8">
        <v>0</v>
      </c>
      <c r="D8">
        <v>26</v>
      </c>
      <c r="E8" s="86">
        <f>-'113Hrs'!D11</f>
        <v>-13.0166666666667</v>
      </c>
      <c r="F8" s="88">
        <f t="shared" si="0"/>
        <v>-820.0500000000021</v>
      </c>
      <c r="G8" s="88">
        <f t="shared" si="1"/>
        <v>-3319.250000000008</v>
      </c>
      <c r="H8" s="88">
        <f t="shared" si="3"/>
        <v>-3319.250000000008</v>
      </c>
      <c r="I8" s="88">
        <f t="shared" si="3"/>
        <v>-3319.250000000008</v>
      </c>
      <c r="J8" s="88">
        <f>SUM(I$7:I8)</f>
        <v>-5520.750000000007</v>
      </c>
      <c r="K8" s="86">
        <f>SUMIF($C7:$C48,"0",$E7:$E48)-E19</f>
        <v>54.73333333333342</v>
      </c>
      <c r="L8" s="86">
        <f>SUMIF($C7:$C48,"1",$E7:$E48)</f>
        <v>74.60000000000008</v>
      </c>
      <c r="M8" s="86">
        <f>SUMIF($C7:$C48,"2",$E7:$E48)</f>
        <v>176.09999999999997</v>
      </c>
    </row>
    <row r="9" spans="1:10" ht="12.75">
      <c r="A9">
        <v>247</v>
      </c>
      <c r="C9">
        <v>0</v>
      </c>
      <c r="D9">
        <v>19</v>
      </c>
      <c r="E9" s="86">
        <f>-'113Hrs'!D27</f>
        <v>-10.8166666666667</v>
      </c>
      <c r="F9" s="88">
        <f t="shared" si="0"/>
        <v>-681.4500000000021</v>
      </c>
      <c r="G9" s="88">
        <f t="shared" si="1"/>
        <v>-2758.2500000000086</v>
      </c>
      <c r="H9" s="88">
        <f t="shared" si="3"/>
        <v>-2758.2500000000086</v>
      </c>
      <c r="I9" s="88">
        <f t="shared" si="3"/>
        <v>-2758.2500000000086</v>
      </c>
      <c r="J9" s="88">
        <f>SUM(I$7:I9)</f>
        <v>-8279.000000000016</v>
      </c>
    </row>
    <row r="10" spans="1:10" ht="12.75">
      <c r="A10">
        <v>256</v>
      </c>
      <c r="C10">
        <v>0</v>
      </c>
      <c r="D10">
        <v>26</v>
      </c>
      <c r="E10" s="86">
        <f>-'113Hrs'!D37</f>
        <v>-13.1333333333333</v>
      </c>
      <c r="F10" s="88">
        <f t="shared" si="0"/>
        <v>-827.3999999999979</v>
      </c>
      <c r="G10" s="88">
        <f t="shared" si="1"/>
        <v>-3348.999999999992</v>
      </c>
      <c r="H10" s="88">
        <f t="shared" si="3"/>
        <v>-3348.999999999992</v>
      </c>
      <c r="I10" s="88">
        <f t="shared" si="3"/>
        <v>-3348.999999999992</v>
      </c>
      <c r="J10" s="88">
        <f>SUM(I$7:I10)</f>
        <v>-11628.000000000007</v>
      </c>
    </row>
    <row r="11" spans="1:10" ht="12.75">
      <c r="A11">
        <v>272</v>
      </c>
      <c r="C11">
        <v>0</v>
      </c>
      <c r="D11">
        <v>23</v>
      </c>
      <c r="E11" s="86">
        <f>-'113Hrs'!D46</f>
        <v>-5.25</v>
      </c>
      <c r="F11" s="88">
        <f t="shared" si="0"/>
        <v>-330.75</v>
      </c>
      <c r="G11" s="88">
        <f t="shared" si="1"/>
        <v>-1338.75</v>
      </c>
      <c r="H11" s="88">
        <f t="shared" si="3"/>
        <v>-1338.75</v>
      </c>
      <c r="I11" s="88">
        <f t="shared" si="3"/>
        <v>-1338.75</v>
      </c>
      <c r="J11" s="88">
        <f>SUM(I$7:I11)</f>
        <v>-12966.750000000007</v>
      </c>
    </row>
    <row r="12" spans="1:10" ht="12.75">
      <c r="A12">
        <v>272</v>
      </c>
      <c r="C12">
        <v>0</v>
      </c>
      <c r="D12">
        <v>26</v>
      </c>
      <c r="E12" s="86">
        <f>-'113Hrs'!D47</f>
        <v>-1.96666666666667</v>
      </c>
      <c r="F12" s="88">
        <f aca="true" t="shared" si="4" ref="F12:F41">IF($C12=0,63*$E12,IF($C12=1,14*$E12,15*$E12))</f>
        <v>-123.9000000000002</v>
      </c>
      <c r="G12" s="88">
        <f aca="true" t="shared" si="5" ref="G12:G41">IF($C12=0,255*$E12,IF($C12=1,52*$E12,59*$E12))</f>
        <v>-501.5000000000008</v>
      </c>
      <c r="H12" s="88">
        <f aca="true" t="shared" si="6" ref="H12:I27">IF($C12=0,255*$E12,IF($C12=1,52*$E12,58*$E12))</f>
        <v>-501.5000000000008</v>
      </c>
      <c r="I12" s="88">
        <f t="shared" si="6"/>
        <v>-501.5000000000008</v>
      </c>
      <c r="J12" s="88">
        <f>SUM(I$7:I12)</f>
        <v>-13468.250000000007</v>
      </c>
    </row>
    <row r="13" spans="1:10" ht="12.75">
      <c r="A13">
        <v>272</v>
      </c>
      <c r="C13">
        <v>0</v>
      </c>
      <c r="D13">
        <v>32</v>
      </c>
      <c r="E13" s="86">
        <f>-'113Hrs'!D48</f>
        <v>-14.8333333333333</v>
      </c>
      <c r="F13" s="88">
        <f t="shared" si="4"/>
        <v>-934.499999999998</v>
      </c>
      <c r="G13" s="88">
        <f t="shared" si="5"/>
        <v>-3782.4999999999914</v>
      </c>
      <c r="H13" s="88">
        <f t="shared" si="6"/>
        <v>-3782.4999999999914</v>
      </c>
      <c r="I13" s="88">
        <f t="shared" si="6"/>
        <v>-3782.4999999999914</v>
      </c>
      <c r="J13" s="88">
        <f>SUM(I$7:I13)</f>
        <v>-17250.75</v>
      </c>
    </row>
    <row r="14" spans="1:10" ht="12.75">
      <c r="A14">
        <v>261</v>
      </c>
      <c r="C14">
        <v>0</v>
      </c>
      <c r="D14">
        <v>23</v>
      </c>
      <c r="E14" s="86">
        <f>-'113Hrs'!D38</f>
        <v>-2</v>
      </c>
      <c r="F14" s="88">
        <f t="shared" si="4"/>
        <v>-126</v>
      </c>
      <c r="G14" s="88">
        <f t="shared" si="5"/>
        <v>-510</v>
      </c>
      <c r="H14" s="88">
        <f t="shared" si="6"/>
        <v>-510</v>
      </c>
      <c r="I14" s="88">
        <f t="shared" si="6"/>
        <v>-510</v>
      </c>
      <c r="J14" s="88">
        <f>SUM(I$7:I14)</f>
        <v>-17760.75</v>
      </c>
    </row>
    <row r="15" spans="1:10" ht="12.75">
      <c r="A15">
        <v>261</v>
      </c>
      <c r="C15">
        <v>0</v>
      </c>
      <c r="D15">
        <v>26</v>
      </c>
      <c r="E15" s="86">
        <f>-'113Hrs'!D39</f>
        <v>-1.08333333333333</v>
      </c>
      <c r="F15" s="88">
        <f t="shared" si="4"/>
        <v>-68.24999999999979</v>
      </c>
      <c r="G15" s="88">
        <f t="shared" si="5"/>
        <v>-276.24999999999915</v>
      </c>
      <c r="H15" s="88">
        <f t="shared" si="6"/>
        <v>-276.24999999999915</v>
      </c>
      <c r="I15" s="88">
        <f t="shared" si="6"/>
        <v>-276.24999999999915</v>
      </c>
      <c r="J15" s="88">
        <f>SUM(I$7:I15)</f>
        <v>-18037</v>
      </c>
    </row>
    <row r="16" spans="1:10" ht="12.75">
      <c r="A16">
        <v>261</v>
      </c>
      <c r="C16">
        <v>0</v>
      </c>
      <c r="D16">
        <v>32</v>
      </c>
      <c r="E16" s="86">
        <f>-'113Hrs'!D40</f>
        <v>-13.55</v>
      </c>
      <c r="F16" s="88">
        <f t="shared" si="4"/>
        <v>-853.6500000000001</v>
      </c>
      <c r="G16" s="88">
        <f t="shared" si="5"/>
        <v>-3455.25</v>
      </c>
      <c r="H16" s="88">
        <f t="shared" si="6"/>
        <v>-3455.25</v>
      </c>
      <c r="I16" s="88">
        <f t="shared" si="6"/>
        <v>-3455.25</v>
      </c>
      <c r="J16" s="88">
        <f>SUM(I$7:I16)</f>
        <v>-21492.25</v>
      </c>
    </row>
    <row r="17" spans="1:10" ht="12.75">
      <c r="A17">
        <v>266</v>
      </c>
      <c r="C17">
        <v>0</v>
      </c>
      <c r="D17">
        <v>23</v>
      </c>
      <c r="E17" s="86">
        <f>-'113Hrs'!D41</f>
        <v>-4.35</v>
      </c>
      <c r="F17" s="88">
        <f t="shared" si="4"/>
        <v>-274.04999999999995</v>
      </c>
      <c r="G17" s="88">
        <f t="shared" si="5"/>
        <v>-1109.25</v>
      </c>
      <c r="H17" s="88">
        <f t="shared" si="6"/>
        <v>-1109.25</v>
      </c>
      <c r="I17" s="88">
        <f t="shared" si="6"/>
        <v>-1109.25</v>
      </c>
      <c r="J17" s="88">
        <f>SUM(I$7:I17)</f>
        <v>-22601.5</v>
      </c>
    </row>
    <row r="18" spans="1:10" ht="12.75">
      <c r="A18">
        <v>266</v>
      </c>
      <c r="C18">
        <v>0</v>
      </c>
      <c r="D18">
        <v>32</v>
      </c>
      <c r="E18" s="86">
        <f>-'113Hrs'!D42</f>
        <v>-14.5833333333333</v>
      </c>
      <c r="F18" s="88">
        <f t="shared" si="4"/>
        <v>-918.749999999998</v>
      </c>
      <c r="G18" s="88">
        <f t="shared" si="5"/>
        <v>-3718.7499999999914</v>
      </c>
      <c r="H18" s="88">
        <f t="shared" si="6"/>
        <v>-3718.7499999999914</v>
      </c>
      <c r="I18" s="88">
        <f t="shared" si="6"/>
        <v>-3718.7499999999914</v>
      </c>
      <c r="J18" s="88">
        <f>SUM(I$7:I18)</f>
        <v>-26320.249999999993</v>
      </c>
    </row>
    <row r="19" spans="1:10" ht="12.75">
      <c r="A19">
        <v>926</v>
      </c>
      <c r="C19">
        <v>0</v>
      </c>
      <c r="D19">
        <v>57</v>
      </c>
      <c r="E19" s="86">
        <f>-'113Hrs'!D49</f>
        <v>-19.8</v>
      </c>
      <c r="F19" s="88">
        <f t="shared" si="4"/>
        <v>-1247.4</v>
      </c>
      <c r="G19" s="88">
        <f t="shared" si="5"/>
        <v>-5049</v>
      </c>
      <c r="H19" s="88">
        <f t="shared" si="6"/>
        <v>-5049</v>
      </c>
      <c r="I19" s="88">
        <f t="shared" si="6"/>
        <v>-5049</v>
      </c>
      <c r="J19" s="88">
        <f>SUM(I$7:I19)</f>
        <v>-31369.249999999993</v>
      </c>
    </row>
    <row r="20" spans="1:10" ht="12.75">
      <c r="A20">
        <v>230</v>
      </c>
      <c r="B20" t="s">
        <v>47</v>
      </c>
      <c r="C20">
        <v>0</v>
      </c>
      <c r="D20">
        <v>11</v>
      </c>
      <c r="E20" s="86">
        <f>-'113Hrs'!D12</f>
        <v>-0.916666666666667</v>
      </c>
      <c r="F20" s="88">
        <f t="shared" si="4"/>
        <v>-57.75000000000002</v>
      </c>
      <c r="G20" s="88">
        <f t="shared" si="5"/>
        <v>-233.75000000000009</v>
      </c>
      <c r="H20" s="88">
        <f t="shared" si="6"/>
        <v>-233.75000000000009</v>
      </c>
      <c r="I20" s="88">
        <f t="shared" si="6"/>
        <v>-233.75000000000009</v>
      </c>
      <c r="J20" s="88">
        <f>SUM(I$7:I20)</f>
        <v>-31602.999999999993</v>
      </c>
    </row>
    <row r="21" spans="1:10" ht="12.75">
      <c r="A21">
        <v>230</v>
      </c>
      <c r="B21" t="s">
        <v>47</v>
      </c>
      <c r="C21">
        <v>0</v>
      </c>
      <c r="D21">
        <v>32</v>
      </c>
      <c r="E21" s="86">
        <f>-'113Hrs'!D13</f>
        <v>-62.3</v>
      </c>
      <c r="F21" s="88">
        <f t="shared" si="4"/>
        <v>-3924.8999999999996</v>
      </c>
      <c r="G21" s="88">
        <f t="shared" si="5"/>
        <v>-15886.5</v>
      </c>
      <c r="H21" s="88">
        <f t="shared" si="6"/>
        <v>-15886.5</v>
      </c>
      <c r="I21" s="88">
        <f t="shared" si="6"/>
        <v>-15886.5</v>
      </c>
      <c r="J21" s="88">
        <f>SUM(I$7:I21)</f>
        <v>-47489.49999999999</v>
      </c>
    </row>
    <row r="22" spans="1:10" ht="12.75">
      <c r="A22">
        <v>230</v>
      </c>
      <c r="B22" t="s">
        <v>47</v>
      </c>
      <c r="C22">
        <v>1</v>
      </c>
      <c r="D22">
        <v>32</v>
      </c>
      <c r="E22" s="86">
        <f>-'113Hrs'!D14</f>
        <v>-51.9333333333333</v>
      </c>
      <c r="F22" s="88">
        <f t="shared" si="4"/>
        <v>-727.0666666666663</v>
      </c>
      <c r="G22" s="88">
        <f t="shared" si="5"/>
        <v>-2700.5333333333315</v>
      </c>
      <c r="H22" s="88">
        <f t="shared" si="6"/>
        <v>-2700.5333333333315</v>
      </c>
      <c r="I22" s="88">
        <f t="shared" si="6"/>
        <v>-2700.5333333333315</v>
      </c>
      <c r="J22" s="88">
        <f>SUM(I$7:I22)</f>
        <v>-50190.033333333326</v>
      </c>
    </row>
    <row r="23" spans="1:10" ht="12.75">
      <c r="A23">
        <v>230</v>
      </c>
      <c r="B23" t="s">
        <v>47</v>
      </c>
      <c r="C23">
        <v>2</v>
      </c>
      <c r="D23">
        <v>32</v>
      </c>
      <c r="E23" s="86">
        <f>-'113Hrs'!D15</f>
        <v>-31.05</v>
      </c>
      <c r="F23" s="88">
        <f t="shared" si="4"/>
        <v>-465.75</v>
      </c>
      <c r="G23" s="88">
        <f t="shared" si="5"/>
        <v>-1831.95</v>
      </c>
      <c r="H23" s="88">
        <f t="shared" si="6"/>
        <v>-1800.9</v>
      </c>
      <c r="I23" s="88">
        <f t="shared" si="6"/>
        <v>-1800.9</v>
      </c>
      <c r="J23" s="88">
        <f>SUM(I$7:I23)</f>
        <v>-51990.93333333333</v>
      </c>
    </row>
    <row r="24" spans="1:10" ht="12.75">
      <c r="A24">
        <v>253</v>
      </c>
      <c r="C24">
        <v>0</v>
      </c>
      <c r="D24">
        <v>32</v>
      </c>
      <c r="E24" s="86">
        <f>-'113Hrs'!D31</f>
        <v>-82.6833333333333</v>
      </c>
      <c r="F24" s="88">
        <f t="shared" si="4"/>
        <v>-5209.049999999997</v>
      </c>
      <c r="G24" s="88">
        <f t="shared" si="5"/>
        <v>-21084.24999999999</v>
      </c>
      <c r="H24" s="88">
        <f t="shared" si="6"/>
        <v>-21084.24999999999</v>
      </c>
      <c r="I24" s="88">
        <f t="shared" si="6"/>
        <v>-21084.24999999999</v>
      </c>
      <c r="J24" s="88">
        <f>SUM(I$7:I24)</f>
        <v>-73075.18333333332</v>
      </c>
    </row>
    <row r="25" spans="1:10" ht="12.75">
      <c r="A25">
        <v>253</v>
      </c>
      <c r="C25">
        <v>1</v>
      </c>
      <c r="D25">
        <v>32</v>
      </c>
      <c r="E25" s="86">
        <f>-'113Hrs'!D32</f>
        <v>-64.6833333333333</v>
      </c>
      <c r="F25" s="88">
        <f t="shared" si="4"/>
        <v>-905.5666666666662</v>
      </c>
      <c r="G25" s="88">
        <f t="shared" si="5"/>
        <v>-3363.5333333333315</v>
      </c>
      <c r="H25" s="88">
        <f t="shared" si="6"/>
        <v>-3363.5333333333315</v>
      </c>
      <c r="I25" s="88">
        <f t="shared" si="6"/>
        <v>-3363.5333333333315</v>
      </c>
      <c r="J25" s="88">
        <f>SUM(I$7:I25)</f>
        <v>-76438.71666666665</v>
      </c>
    </row>
    <row r="26" spans="1:10" ht="12.75">
      <c r="A26">
        <v>253</v>
      </c>
      <c r="C26">
        <v>2</v>
      </c>
      <c r="D26">
        <v>32</v>
      </c>
      <c r="E26" s="86">
        <f>-'113Hrs'!D33</f>
        <v>-34.5166666666667</v>
      </c>
      <c r="F26" s="88">
        <f t="shared" si="4"/>
        <v>-517.7500000000006</v>
      </c>
      <c r="G26" s="88">
        <f t="shared" si="5"/>
        <v>-2036.4833333333354</v>
      </c>
      <c r="H26" s="88">
        <f t="shared" si="6"/>
        <v>-2001.9666666666687</v>
      </c>
      <c r="I26" s="88">
        <f t="shared" si="6"/>
        <v>-2001.9666666666687</v>
      </c>
      <c r="J26" s="88">
        <f>SUM(I$7:I26)</f>
        <v>-78440.68333333332</v>
      </c>
    </row>
    <row r="27" spans="1:11" ht="12.75">
      <c r="A27">
        <v>672</v>
      </c>
      <c r="C27">
        <v>0</v>
      </c>
      <c r="D27">
        <v>60</v>
      </c>
      <c r="E27" s="86">
        <v>164</v>
      </c>
      <c r="F27" s="88">
        <f t="shared" si="4"/>
        <v>10332</v>
      </c>
      <c r="G27" s="88">
        <f t="shared" si="5"/>
        <v>41820</v>
      </c>
      <c r="H27" s="88">
        <f t="shared" si="6"/>
        <v>41820</v>
      </c>
      <c r="I27" s="88">
        <f t="shared" si="6"/>
        <v>41820</v>
      </c>
      <c r="J27" s="88">
        <f>SUM(I$7:I27)</f>
        <v>-36620.68333333332</v>
      </c>
      <c r="K27" s="88">
        <f>SUM(I27:I29)</f>
        <v>54690</v>
      </c>
    </row>
    <row r="28" spans="1:10" ht="12.75">
      <c r="A28">
        <v>672</v>
      </c>
      <c r="C28">
        <v>1</v>
      </c>
      <c r="D28">
        <v>60</v>
      </c>
      <c r="E28" s="86">
        <v>117</v>
      </c>
      <c r="F28" s="88">
        <f t="shared" si="4"/>
        <v>1638</v>
      </c>
      <c r="G28" s="88">
        <f t="shared" si="5"/>
        <v>6084</v>
      </c>
      <c r="H28" s="88">
        <f aca="true" t="shared" si="7" ref="H28:I41">IF($C28=0,255*$E28,IF($C28=1,52*$E28,58*$E28))</f>
        <v>6084</v>
      </c>
      <c r="I28" s="88">
        <f t="shared" si="7"/>
        <v>6084</v>
      </c>
      <c r="J28" s="88">
        <f>SUM(I$7:I28)</f>
        <v>-30536.68333333332</v>
      </c>
    </row>
    <row r="29" spans="1:10" ht="12.75">
      <c r="A29">
        <v>672</v>
      </c>
      <c r="C29">
        <v>2</v>
      </c>
      <c r="D29">
        <v>60</v>
      </c>
      <c r="E29" s="86">
        <v>117</v>
      </c>
      <c r="F29" s="88">
        <f t="shared" si="4"/>
        <v>1755</v>
      </c>
      <c r="G29" s="88">
        <f t="shared" si="5"/>
        <v>6903</v>
      </c>
      <c r="H29" s="88">
        <f t="shared" si="7"/>
        <v>6786</v>
      </c>
      <c r="I29" s="88">
        <f t="shared" si="7"/>
        <v>6786</v>
      </c>
      <c r="J29" s="88">
        <f>SUM(I$7:I29)</f>
        <v>-23750.68333333332</v>
      </c>
    </row>
    <row r="30" spans="1:11" ht="12.75">
      <c r="A30">
        <v>233</v>
      </c>
      <c r="C30">
        <v>0</v>
      </c>
      <c r="D30">
        <v>11</v>
      </c>
      <c r="E30" s="86">
        <f>ROUND(12265*60/365,0)/60</f>
        <v>33.6</v>
      </c>
      <c r="F30" s="88">
        <f t="shared" si="4"/>
        <v>2116.8</v>
      </c>
      <c r="G30" s="88">
        <f t="shared" si="5"/>
        <v>8568</v>
      </c>
      <c r="H30" s="88">
        <f t="shared" si="7"/>
        <v>8568</v>
      </c>
      <c r="I30" s="88">
        <f t="shared" si="7"/>
        <v>8568</v>
      </c>
      <c r="J30" s="88">
        <f>SUM(I$7:I30)</f>
        <v>-15182.68333333332</v>
      </c>
      <c r="K30" s="88"/>
    </row>
    <row r="31" spans="1:10" ht="12.75">
      <c r="A31">
        <v>233</v>
      </c>
      <c r="C31">
        <v>1</v>
      </c>
      <c r="D31">
        <v>11</v>
      </c>
      <c r="E31" s="86">
        <f>ROUND(12265*60/365,0)/60</f>
        <v>33.6</v>
      </c>
      <c r="F31" s="88">
        <f t="shared" si="4"/>
        <v>470.40000000000003</v>
      </c>
      <c r="G31" s="88">
        <f t="shared" si="5"/>
        <v>1747.2</v>
      </c>
      <c r="H31" s="88">
        <f t="shared" si="7"/>
        <v>1747.2</v>
      </c>
      <c r="I31" s="88">
        <f t="shared" si="7"/>
        <v>1747.2</v>
      </c>
      <c r="J31" s="88">
        <f>SUM(I$7:I31)</f>
        <v>-13435.483333333319</v>
      </c>
    </row>
    <row r="32" spans="1:10" ht="12.75">
      <c r="A32">
        <v>233</v>
      </c>
      <c r="C32">
        <v>2</v>
      </c>
      <c r="D32">
        <v>11</v>
      </c>
      <c r="E32" s="86">
        <f>ROUND(12265*60/365,0)/60</f>
        <v>33.6</v>
      </c>
      <c r="F32" s="88">
        <f t="shared" si="4"/>
        <v>504</v>
      </c>
      <c r="G32" s="88">
        <f t="shared" si="5"/>
        <v>1982.4</v>
      </c>
      <c r="H32" s="88">
        <f t="shared" si="7"/>
        <v>1948.8000000000002</v>
      </c>
      <c r="I32" s="88">
        <f t="shared" si="7"/>
        <v>1948.8000000000002</v>
      </c>
      <c r="J32" s="88">
        <f>SUM(I$7:I32)</f>
        <v>-11486.68333333332</v>
      </c>
    </row>
    <row r="33" spans="1:10" ht="12.75">
      <c r="A33">
        <v>255</v>
      </c>
      <c r="C33">
        <v>0</v>
      </c>
      <c r="D33">
        <v>26</v>
      </c>
      <c r="E33" s="86">
        <f>ROUND(3675*60/365,0)/60</f>
        <v>10.066666666666666</v>
      </c>
      <c r="F33" s="88">
        <f t="shared" si="4"/>
        <v>634.1999999999999</v>
      </c>
      <c r="G33" s="88">
        <f t="shared" si="5"/>
        <v>2567</v>
      </c>
      <c r="H33" s="88">
        <f t="shared" si="7"/>
        <v>2567</v>
      </c>
      <c r="I33" s="88">
        <f t="shared" si="7"/>
        <v>2567</v>
      </c>
      <c r="J33" s="88">
        <f>SUM(I$7:I33)</f>
        <v>-8919.68333333332</v>
      </c>
    </row>
    <row r="34" spans="1:10" ht="12.75">
      <c r="A34">
        <v>255</v>
      </c>
      <c r="C34">
        <v>1</v>
      </c>
      <c r="D34">
        <v>26</v>
      </c>
      <c r="E34" s="86">
        <f>ROUND(3675*60/365,0)/60</f>
        <v>10.066666666666666</v>
      </c>
      <c r="F34" s="88">
        <f t="shared" si="4"/>
        <v>140.93333333333334</v>
      </c>
      <c r="G34" s="88">
        <f t="shared" si="5"/>
        <v>523.4666666666667</v>
      </c>
      <c r="H34" s="88">
        <f t="shared" si="7"/>
        <v>523.4666666666667</v>
      </c>
      <c r="I34" s="88">
        <f t="shared" si="7"/>
        <v>523.4666666666667</v>
      </c>
      <c r="J34" s="88">
        <f>SUM(I$7:I34)</f>
        <v>-8396.216666666653</v>
      </c>
    </row>
    <row r="35" spans="1:10" ht="12.75">
      <c r="A35">
        <v>255</v>
      </c>
      <c r="C35">
        <v>2</v>
      </c>
      <c r="D35">
        <v>26</v>
      </c>
      <c r="E35" s="86">
        <f>ROUND(3675*60/365,0)/60</f>
        <v>10.066666666666666</v>
      </c>
      <c r="F35" s="88">
        <f t="shared" si="4"/>
        <v>151</v>
      </c>
      <c r="G35" s="88">
        <f t="shared" si="5"/>
        <v>593.9333333333333</v>
      </c>
      <c r="H35" s="88">
        <f t="shared" si="7"/>
        <v>583.8666666666667</v>
      </c>
      <c r="I35" s="88">
        <f t="shared" si="7"/>
        <v>583.8666666666667</v>
      </c>
      <c r="J35" s="88">
        <f>SUM(I$7:I35)</f>
        <v>-7812.349999999986</v>
      </c>
    </row>
    <row r="36" spans="1:10" ht="12.75">
      <c r="A36">
        <v>271</v>
      </c>
      <c r="C36">
        <v>0</v>
      </c>
      <c r="D36">
        <v>32</v>
      </c>
      <c r="E36" s="86">
        <f>ROUND(6885*60/365,0)/60</f>
        <v>18.866666666666667</v>
      </c>
      <c r="F36" s="88">
        <f t="shared" si="4"/>
        <v>1188.6000000000001</v>
      </c>
      <c r="G36" s="88">
        <f t="shared" si="5"/>
        <v>4811</v>
      </c>
      <c r="H36" s="88">
        <f t="shared" si="7"/>
        <v>4811</v>
      </c>
      <c r="I36" s="88">
        <f t="shared" si="7"/>
        <v>4811</v>
      </c>
      <c r="J36" s="88">
        <f>SUM(I$7:I36)</f>
        <v>-3001.349999999986</v>
      </c>
    </row>
    <row r="37" spans="1:10" ht="12.75">
      <c r="A37">
        <v>271</v>
      </c>
      <c r="C37">
        <v>1</v>
      </c>
      <c r="D37">
        <v>32</v>
      </c>
      <c r="E37" s="86">
        <f>ROUND(6885*60/365,0)/60</f>
        <v>18.866666666666667</v>
      </c>
      <c r="F37" s="88">
        <f t="shared" si="4"/>
        <v>264.1333333333333</v>
      </c>
      <c r="G37" s="88">
        <f t="shared" si="5"/>
        <v>981.0666666666667</v>
      </c>
      <c r="H37" s="88">
        <f t="shared" si="7"/>
        <v>981.0666666666667</v>
      </c>
      <c r="I37" s="88">
        <f t="shared" si="7"/>
        <v>981.0666666666667</v>
      </c>
      <c r="J37" s="88">
        <f>SUM(I$7:I37)</f>
        <v>-2020.2833333333192</v>
      </c>
    </row>
    <row r="38" spans="1:10" ht="12.75">
      <c r="A38">
        <v>271</v>
      </c>
      <c r="C38">
        <v>2</v>
      </c>
      <c r="D38">
        <v>32</v>
      </c>
      <c r="E38" s="86">
        <f>ROUND(6885*60/365,0)/60</f>
        <v>18.866666666666667</v>
      </c>
      <c r="F38" s="88">
        <f t="shared" si="4"/>
        <v>283</v>
      </c>
      <c r="G38" s="88">
        <f t="shared" si="5"/>
        <v>1113.1333333333334</v>
      </c>
      <c r="H38" s="88">
        <f t="shared" si="7"/>
        <v>1094.2666666666667</v>
      </c>
      <c r="I38" s="88">
        <f t="shared" si="7"/>
        <v>1094.2666666666667</v>
      </c>
      <c r="J38" s="88">
        <f>SUM(I$7:I38)</f>
        <v>-926.0166666666526</v>
      </c>
    </row>
    <row r="39" spans="1:10" ht="12.75">
      <c r="A39">
        <v>245</v>
      </c>
      <c r="C39">
        <v>0</v>
      </c>
      <c r="D39">
        <v>32</v>
      </c>
      <c r="E39" s="86">
        <f>ROUND(4080*60/255,0)/60</f>
        <v>16</v>
      </c>
      <c r="F39" s="88">
        <f t="shared" si="4"/>
        <v>1008</v>
      </c>
      <c r="G39" s="88">
        <f t="shared" si="5"/>
        <v>4080</v>
      </c>
      <c r="H39" s="88">
        <f t="shared" si="7"/>
        <v>4080</v>
      </c>
      <c r="I39" s="88">
        <f t="shared" si="7"/>
        <v>4080</v>
      </c>
      <c r="J39" s="88">
        <f>SUM(I$7:I39)</f>
        <v>3153.983333333347</v>
      </c>
    </row>
    <row r="40" spans="1:12" ht="12.75">
      <c r="A40">
        <v>249</v>
      </c>
      <c r="C40">
        <v>0</v>
      </c>
      <c r="D40">
        <v>11</v>
      </c>
      <c r="E40" s="86">
        <f>ROUND((4896*('113Hrs'!E28/'113Hrs'!F$28)+3570)*60/255,0)/60</f>
        <v>31.45</v>
      </c>
      <c r="F40" s="88">
        <f t="shared" si="4"/>
        <v>1981.35</v>
      </c>
      <c r="G40" s="88">
        <f t="shared" si="5"/>
        <v>8019.75</v>
      </c>
      <c r="H40" s="88">
        <f t="shared" si="7"/>
        <v>8019.75</v>
      </c>
      <c r="I40" s="88">
        <f t="shared" si="7"/>
        <v>8019.75</v>
      </c>
      <c r="J40" s="88">
        <f>SUM(I$7:I40)</f>
        <v>11173.733333333348</v>
      </c>
      <c r="K40" s="88">
        <f>'113Hrs'!E28+I40</f>
        <v>18819</v>
      </c>
      <c r="L40" s="88">
        <f>SUM(K40:K42)</f>
        <v>21589.166666666668</v>
      </c>
    </row>
    <row r="41" spans="1:11" ht="12.75">
      <c r="A41">
        <v>249</v>
      </c>
      <c r="C41">
        <v>1</v>
      </c>
      <c r="D41">
        <v>11</v>
      </c>
      <c r="E41" s="86">
        <f>ROUND(4896*('113Hrs'!E30/'113Hrs'!F$28)*60/52,0)/60</f>
        <v>8.616666666666667</v>
      </c>
      <c r="F41" s="88">
        <f t="shared" si="4"/>
        <v>120.63333333333334</v>
      </c>
      <c r="G41" s="88">
        <f t="shared" si="5"/>
        <v>448.0666666666667</v>
      </c>
      <c r="H41" s="88">
        <f t="shared" si="7"/>
        <v>448.0666666666667</v>
      </c>
      <c r="I41" s="88">
        <f t="shared" si="7"/>
        <v>448.0666666666667</v>
      </c>
      <c r="J41" s="88">
        <f>SUM(I$7:I41)</f>
        <v>11621.800000000016</v>
      </c>
      <c r="K41" s="88">
        <f>'113Hrs'!E30+I41</f>
        <v>1535.733333333335</v>
      </c>
    </row>
    <row r="42" spans="1:11" ht="12.75">
      <c r="A42">
        <v>249</v>
      </c>
      <c r="C42">
        <v>2</v>
      </c>
      <c r="D42">
        <v>11</v>
      </c>
      <c r="E42" s="86">
        <f>ROUND(1234*60/58,0)/60</f>
        <v>21.283333333333335</v>
      </c>
      <c r="F42" s="88">
        <f aca="true" t="shared" si="8" ref="F42:F50">IF($C42=0,63*$E42,IF($C42=1,14*$E42,15*$E42))</f>
        <v>319.25</v>
      </c>
      <c r="G42" s="88">
        <f aca="true" t="shared" si="9" ref="G42:G50">IF($C42=0,255*$E42,IF($C42=1,52*$E42,59*$E42))</f>
        <v>1255.7166666666667</v>
      </c>
      <c r="H42" s="88">
        <f aca="true" t="shared" si="10" ref="H42:I50">IF($C42=0,255*$E42,IF($C42=1,52*$E42,58*$E42))</f>
        <v>1234.4333333333334</v>
      </c>
      <c r="I42" s="88">
        <f t="shared" si="10"/>
        <v>1234.4333333333334</v>
      </c>
      <c r="J42" s="88">
        <f>SUM(I$7:I42)</f>
        <v>12856.233333333348</v>
      </c>
      <c r="K42" s="88">
        <f>I42</f>
        <v>1234.4333333333334</v>
      </c>
    </row>
    <row r="43" spans="1:10" ht="12.75">
      <c r="A43">
        <v>240</v>
      </c>
      <c r="C43">
        <v>0</v>
      </c>
      <c r="D43">
        <v>32</v>
      </c>
      <c r="E43" s="86">
        <f>MIN(ROUND((8925/(8925+1460+2862))*(23000-J42)*60/255,0)/60,ROUND(8925*60/255,0)/60)</f>
        <v>26.8</v>
      </c>
      <c r="F43" s="88">
        <f t="shared" si="8"/>
        <v>1688.4</v>
      </c>
      <c r="G43" s="88">
        <f t="shared" si="9"/>
        <v>6834</v>
      </c>
      <c r="H43" s="88">
        <f t="shared" si="10"/>
        <v>6834</v>
      </c>
      <c r="I43" s="88">
        <f t="shared" si="10"/>
        <v>6834</v>
      </c>
      <c r="J43" s="88">
        <f>SUM(I$7:I43)</f>
        <v>19690.233333333348</v>
      </c>
    </row>
    <row r="44" spans="1:10" ht="12.75">
      <c r="A44">
        <v>249</v>
      </c>
      <c r="C44">
        <v>0</v>
      </c>
      <c r="D44">
        <v>11</v>
      </c>
      <c r="E44" s="86">
        <f>MIN(ROUND((1460/(8925+1460+2862))*(23000-J$42)*60/365,0)/60,ROUND(1460*60/365,0))</f>
        <v>3.066666666666667</v>
      </c>
      <c r="F44" s="88">
        <f t="shared" si="8"/>
        <v>193.20000000000002</v>
      </c>
      <c r="G44" s="88">
        <f t="shared" si="9"/>
        <v>782</v>
      </c>
      <c r="H44" s="88">
        <f t="shared" si="10"/>
        <v>782</v>
      </c>
      <c r="I44" s="88">
        <f t="shared" si="10"/>
        <v>782</v>
      </c>
      <c r="J44" s="88">
        <f>SUM(I$7:I44)</f>
        <v>20472.233333333348</v>
      </c>
    </row>
    <row r="45" spans="1:10" ht="12.75">
      <c r="A45">
        <v>249</v>
      </c>
      <c r="C45">
        <v>1</v>
      </c>
      <c r="D45">
        <v>11</v>
      </c>
      <c r="E45" s="86">
        <f>MIN(ROUND((1460/(8925+1460+2862))*(23000-J$42)*60/365,0)/60,ROUND(1460*60/365,0))</f>
        <v>3.066666666666667</v>
      </c>
      <c r="F45" s="88">
        <f t="shared" si="8"/>
        <v>42.93333333333334</v>
      </c>
      <c r="G45" s="88">
        <f t="shared" si="9"/>
        <v>159.46666666666667</v>
      </c>
      <c r="H45" s="88">
        <f t="shared" si="10"/>
        <v>159.46666666666667</v>
      </c>
      <c r="I45" s="88">
        <f t="shared" si="10"/>
        <v>159.46666666666667</v>
      </c>
      <c r="J45" s="88">
        <f>SUM(I$7:I45)</f>
        <v>20631.700000000015</v>
      </c>
    </row>
    <row r="46" spans="1:10" ht="12.75">
      <c r="A46">
        <v>249</v>
      </c>
      <c r="C46">
        <v>2</v>
      </c>
      <c r="D46">
        <v>11</v>
      </c>
      <c r="E46" s="86">
        <f>MIN(ROUND((1460/(8925+1460+2862))*(23000-J$42)*60/365,0)/60,ROUND(1460*60/365,0))</f>
        <v>3.066666666666667</v>
      </c>
      <c r="F46" s="88">
        <f t="shared" si="8"/>
        <v>46</v>
      </c>
      <c r="G46" s="88">
        <f t="shared" si="9"/>
        <v>180.93333333333334</v>
      </c>
      <c r="H46" s="88">
        <f t="shared" si="10"/>
        <v>177.86666666666667</v>
      </c>
      <c r="I46" s="88">
        <f t="shared" si="10"/>
        <v>177.86666666666667</v>
      </c>
      <c r="J46" s="88">
        <f>SUM(I$7:I46)</f>
        <v>20809.56666666668</v>
      </c>
    </row>
    <row r="47" spans="1:10" ht="12.75">
      <c r="A47">
        <v>271</v>
      </c>
      <c r="C47">
        <v>2</v>
      </c>
      <c r="D47">
        <v>32</v>
      </c>
      <c r="E47" s="86">
        <f>MIN(ROUND((2862/(8925+1460+2862))*(23000-J42)*60/58,0)/60,ROUND(2862*60/58,0)/60)</f>
        <v>37.78333333333333</v>
      </c>
      <c r="F47" s="88">
        <f t="shared" si="8"/>
        <v>566.75</v>
      </c>
      <c r="G47" s="88">
        <f t="shared" si="9"/>
        <v>2229.2166666666667</v>
      </c>
      <c r="H47" s="88">
        <f t="shared" si="10"/>
        <v>2191.4333333333334</v>
      </c>
      <c r="I47" s="88">
        <f t="shared" si="10"/>
        <v>2191.4333333333334</v>
      </c>
      <c r="J47" s="88">
        <f>SUM(I$7:I47)</f>
        <v>23001.000000000015</v>
      </c>
    </row>
    <row r="48" spans="1:10" ht="12.75">
      <c r="A48">
        <v>246</v>
      </c>
      <c r="C48">
        <v>0</v>
      </c>
      <c r="D48">
        <v>19</v>
      </c>
      <c r="E48" s="86">
        <f>MAX(0,(23000-J47)*60/255,0)/60</f>
        <v>0</v>
      </c>
      <c r="F48" s="88">
        <f t="shared" si="8"/>
        <v>0</v>
      </c>
      <c r="G48" s="88">
        <f t="shared" si="9"/>
        <v>0</v>
      </c>
      <c r="H48" s="88">
        <f t="shared" si="10"/>
        <v>0</v>
      </c>
      <c r="I48" s="88">
        <f t="shared" si="10"/>
        <v>0</v>
      </c>
      <c r="J48" s="88">
        <f>SUM(I$7:I48)</f>
        <v>23001.000000000015</v>
      </c>
    </row>
    <row r="49" spans="1:10" ht="12.75">
      <c r="A49" t="s">
        <v>61</v>
      </c>
      <c r="C49">
        <v>0</v>
      </c>
      <c r="D49">
        <v>32</v>
      </c>
      <c r="E49" s="86">
        <f>ROUND(3354*60/255,0)/60</f>
        <v>13.15</v>
      </c>
      <c r="F49" s="88">
        <f t="shared" si="8"/>
        <v>828.45</v>
      </c>
      <c r="G49" s="88">
        <f t="shared" si="9"/>
        <v>3353.25</v>
      </c>
      <c r="H49" s="88">
        <f t="shared" si="10"/>
        <v>3353.25</v>
      </c>
      <c r="I49" s="88">
        <f t="shared" si="10"/>
        <v>3353.25</v>
      </c>
      <c r="J49" s="88"/>
    </row>
    <row r="50" spans="1:10" ht="12.75">
      <c r="A50" t="s">
        <v>61</v>
      </c>
      <c r="C50">
        <v>0</v>
      </c>
      <c r="D50">
        <v>23</v>
      </c>
      <c r="E50" s="86">
        <f>ROUND(3932*60/255,0)/60</f>
        <v>15.416666666666666</v>
      </c>
      <c r="F50" s="88">
        <f t="shared" si="8"/>
        <v>971.25</v>
      </c>
      <c r="G50" s="88">
        <f t="shared" si="9"/>
        <v>3931.25</v>
      </c>
      <c r="H50" s="88">
        <f t="shared" si="10"/>
        <v>3931.25</v>
      </c>
      <c r="I50" s="88">
        <f t="shared" si="10"/>
        <v>3931.25</v>
      </c>
      <c r="J50" s="88"/>
    </row>
    <row r="51" spans="5:10" ht="12.75">
      <c r="E51" s="86">
        <f>SUM(E49:E50)</f>
        <v>28.566666666666666</v>
      </c>
      <c r="F51" s="88"/>
      <c r="G51" s="88"/>
      <c r="H51" s="88"/>
      <c r="I51" s="88"/>
      <c r="J51" s="88"/>
    </row>
    <row r="52" spans="1:7" ht="12.75">
      <c r="A52" s="87" t="s">
        <v>39</v>
      </c>
      <c r="B52" t="s">
        <v>40</v>
      </c>
      <c r="C52" s="87" t="s">
        <v>41</v>
      </c>
      <c r="D52" t="s">
        <v>42</v>
      </c>
      <c r="G52" s="88"/>
    </row>
    <row r="53" spans="1:4" ht="12.75">
      <c r="A53">
        <v>11</v>
      </c>
      <c r="B53" s="88">
        <f>SUMIF($D$2:$D$50,"11",F$2:F$50)</f>
        <v>5736.816666666667</v>
      </c>
      <c r="C53" s="88">
        <f>SUMIF($D$2:$D$50,"11",G$2:G$50)</f>
        <v>22909.783333333333</v>
      </c>
      <c r="D53" s="88">
        <f>SUMIF($D$2:$D$50,"11",H$2:H$50)</f>
        <v>22851.833333333332</v>
      </c>
    </row>
    <row r="54" spans="1:4" ht="12.75">
      <c r="A54" s="89">
        <v>19</v>
      </c>
      <c r="B54" s="88">
        <f>SUMIF($D$2:$D$50,"19",F$2:F$50)</f>
        <v>-681.4500000000021</v>
      </c>
      <c r="C54" s="88">
        <f>SUMIF($D$2:$D$50,"19",G$2:G$50)</f>
        <v>-2758.2500000000086</v>
      </c>
      <c r="D54" s="88">
        <f>SUMIF($D$2:$D$50,"19",H$2:H$50)</f>
        <v>-2758.2500000000086</v>
      </c>
    </row>
    <row r="55" spans="1:4" ht="12.75">
      <c r="A55">
        <v>23</v>
      </c>
      <c r="B55" s="88">
        <f>SUMIF($D$2:$D$50,"23",F$2:F$50)</f>
        <v>1464.75</v>
      </c>
      <c r="C55" s="88">
        <f>SUMIF($D$2:$D$50,"23",G$2:G$50)</f>
        <v>5928.75</v>
      </c>
      <c r="D55" s="88">
        <f>SUMIF($D$2:$D$50,"23",H$2:H$50)</f>
        <v>5928.75</v>
      </c>
    </row>
    <row r="56" spans="1:4" ht="12.75">
      <c r="A56">
        <v>26</v>
      </c>
      <c r="B56" s="88">
        <f>SUMIF($D$2:$D$50,"26",F$2:F$50)</f>
        <v>1192.6</v>
      </c>
      <c r="C56" s="88">
        <f>SUMIF($D$2:$D$50,"26",G$2:G$50)</f>
        <v>4392.033333333334</v>
      </c>
      <c r="D56" s="88">
        <f>SUMIF($D$2:$D$50,"26",H$2:H$50)</f>
        <v>4381.966666666667</v>
      </c>
    </row>
    <row r="57" spans="1:4" ht="12.75">
      <c r="A57">
        <v>32</v>
      </c>
      <c r="B57" s="88">
        <f>SUMIF($D$2:$D$49,"32",F$2:F$49)</f>
        <v>-7709.849999999992</v>
      </c>
      <c r="C57" s="88">
        <f>SUMIF($D$2:$D$49,"32",G$2:G$49)</f>
        <v>-30767.983333333308</v>
      </c>
      <c r="D57" s="88">
        <f>SUMIF($D$2:$D$49,"32",H$2:H$49)</f>
        <v>-30759.066666666637</v>
      </c>
    </row>
    <row r="58" spans="1:4" ht="12.75">
      <c r="A58">
        <v>57</v>
      </c>
      <c r="B58" s="88">
        <f>SUMIF($D$2:$D$50,"57",F$2:F$50)</f>
        <v>-1247.4</v>
      </c>
      <c r="C58" s="88">
        <f>SUMIF($D$2:$D$50,"57",G$2:G$50)</f>
        <v>-5049</v>
      </c>
      <c r="D58" s="88">
        <f>SUMIF($D$2:$D$50,"57",H$2:H$50)</f>
        <v>-5049</v>
      </c>
    </row>
    <row r="59" spans="1:4" ht="12.75">
      <c r="A59">
        <v>60</v>
      </c>
      <c r="B59" s="88">
        <f>SUMIF($D$2:$D$50,"60",F$2:F$50)</f>
        <v>13725</v>
      </c>
      <c r="C59" s="88">
        <f>SUMIF($D$2:$D$50,"60",G$2:G$50)</f>
        <v>54807</v>
      </c>
      <c r="D59" s="88">
        <f>SUMIF($D$2:$D$50,"60",H$2:H$50)</f>
        <v>54690</v>
      </c>
    </row>
    <row r="60" ht="12.75">
      <c r="D60" s="88"/>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Transit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WoldM</dc:creator>
  <cp:keywords/>
  <dc:description/>
  <cp:lastModifiedBy>Allende, Angel</cp:lastModifiedBy>
  <cp:lastPrinted>2011-03-16T22:23:36Z</cp:lastPrinted>
  <dcterms:created xsi:type="dcterms:W3CDTF">2008-03-11T23:48:05Z</dcterms:created>
  <dcterms:modified xsi:type="dcterms:W3CDTF">2011-04-07T18:21:27Z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