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defaultThemeVersion="124226"/>
  <bookViews>
    <workbookView xWindow="65426" yWindow="65426" windowWidth="19420" windowHeight="10420" activeTab="2"/>
  </bookViews>
  <sheets>
    <sheet name="scenario 1" sheetId="1" r:id="rId1"/>
    <sheet name="scenario 2" sheetId="3" r:id="rId2"/>
    <sheet name="scenario 3" sheetId="5" r:id="rId3"/>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<sst xmlns="http://schemas.openxmlformats.org/spreadsheetml/2006/main" count="147" uniqueCount="62">
  <si>
    <r>
      <rPr>
        <b/>
        <sz val="12"/>
        <rFont val="Times New Roman"/>
        <family val="1"/>
      </rPr>
      <t>Dexter Horton Building: 5-Year Benefit Analysis for King County Ownership</t>
    </r>
  </si>
  <si>
    <t>Assumes that King County occupies 104,247 sf of space currently leased (86,998) plus optional new occupancy space (17,249 sf), paying no base rent. Assumes that all other tenants do not renew at the end of their lease terms, and that no vacant space is leased. Assumes King County continues to occupy space at expiration Benefit analysis accounts for payment of debt service based loan for 100% of $36,640,000 purchase price for 20‐year amortizing payments at assumed KC cost of funds at $2,970,000/yr.  Benefit analysis includes accounting for not paying contract rent that would be owed to owner if the property is not purchased, and for the equity buildup resulting from paying down the loan amount by the principal portion of debt service each year.</t>
  </si>
  <si>
    <t>2024 full year
Forecast</t>
  </si>
  <si>
    <t>July -Dec 2024 Forecast</t>
  </si>
  <si>
    <t>2025
Forecast</t>
  </si>
  <si>
    <t>2026
Forecast</t>
  </si>
  <si>
    <t xml:space="preserve">notes - scenario 1: no new leases and no renewals of current tenants, leases begin to expire in 2026 </t>
  </si>
  <si>
    <r>
      <rPr>
        <sz val="8.5"/>
        <rFont val="Times New Roman"/>
        <family val="1"/>
      </rPr>
      <t>Rental Income</t>
    </r>
  </si>
  <si>
    <t>Expense Recoveries</t>
  </si>
  <si>
    <t xml:space="preserve"> Other Income</t>
  </si>
  <si>
    <r>
      <rPr>
        <b/>
        <i/>
        <sz val="8.5"/>
        <rFont val="Times New Roman"/>
        <family val="1"/>
      </rPr>
      <t>Total Potential Revenue</t>
    </r>
  </si>
  <si>
    <r>
      <rPr>
        <sz val="8.5"/>
        <rFont val="Times New Roman"/>
        <family val="1"/>
      </rPr>
      <t>Less Credit Loss</t>
    </r>
  </si>
  <si>
    <t>definition: estimate of non-collectible rents (estimate 1-2% of revenue is standard - 1% asssumed)</t>
  </si>
  <si>
    <r>
      <rPr>
        <b/>
        <sz val="8.5"/>
        <rFont val="Times New Roman"/>
        <family val="1"/>
      </rPr>
      <t>Effective Gross Income</t>
    </r>
  </si>
  <si>
    <r>
      <rPr>
        <sz val="8.5"/>
        <rFont val="Times New Roman"/>
        <family val="1"/>
      </rPr>
      <t>Cleaning</t>
    </r>
  </si>
  <si>
    <r>
      <rPr>
        <sz val="8.5"/>
        <rFont val="Times New Roman"/>
        <family val="1"/>
      </rPr>
      <t>Repairs &amp; Maintenance</t>
    </r>
  </si>
  <si>
    <r>
      <rPr>
        <sz val="8.5"/>
        <rFont val="Times New Roman"/>
        <family val="1"/>
      </rPr>
      <t>Utilities</t>
    </r>
  </si>
  <si>
    <r>
      <rPr>
        <sz val="8.5"/>
        <rFont val="Times New Roman"/>
        <family val="1"/>
      </rPr>
      <t>Security &amp; Grounds</t>
    </r>
  </si>
  <si>
    <r>
      <rPr>
        <sz val="8.5"/>
        <rFont val="Times New Roman"/>
        <family val="1"/>
      </rPr>
      <t>Administration</t>
    </r>
  </si>
  <si>
    <r>
      <rPr>
        <sz val="8.5"/>
        <rFont val="Times New Roman"/>
        <family val="1"/>
      </rPr>
      <t>Management</t>
    </r>
  </si>
  <si>
    <r>
      <rPr>
        <b/>
        <i/>
        <sz val="8.5"/>
        <rFont val="Times New Roman"/>
        <family val="1"/>
      </rPr>
      <t>Total Variable Expenses</t>
    </r>
  </si>
  <si>
    <r>
      <rPr>
        <sz val="8.5"/>
        <rFont val="Times New Roman"/>
        <family val="1"/>
      </rPr>
      <t>Building Insurance</t>
    </r>
  </si>
  <si>
    <t>adjusted to assume KC Risk estimate for building insurance based on 2025 budget assumptions</t>
  </si>
  <si>
    <r>
      <rPr>
        <b/>
        <i/>
        <sz val="8.5"/>
        <rFont val="Times New Roman"/>
        <family val="1"/>
      </rPr>
      <t>Total Fixed Expenses</t>
    </r>
  </si>
  <si>
    <t>removed ad valorem property taxes - not applicable - Lease excise tax would be paid by tenants so would be a neutral pass-through</t>
  </si>
  <si>
    <r>
      <rPr>
        <b/>
        <i/>
        <sz val="8.5"/>
        <rFont val="Times New Roman"/>
        <family val="1"/>
      </rPr>
      <t>Non Recoverable Expenses</t>
    </r>
  </si>
  <si>
    <t>definition: operating expenses not recoverable from tenants</t>
  </si>
  <si>
    <r>
      <rPr>
        <b/>
        <sz val="8.5"/>
        <rFont val="Times New Roman"/>
        <family val="1"/>
      </rPr>
      <t>Total Expenses</t>
    </r>
  </si>
  <si>
    <r>
      <rPr>
        <b/>
        <sz val="8.5"/>
        <rFont val="Times New Roman"/>
        <family val="1"/>
      </rPr>
      <t>Net Operating Income</t>
    </r>
  </si>
  <si>
    <r>
      <rPr>
        <sz val="8.5"/>
        <rFont val="Times New Roman"/>
        <family val="1"/>
      </rPr>
      <t>Less Capital Leasing Costs (TIs &amp; Leasing Commissions)</t>
    </r>
  </si>
  <si>
    <r>
      <rPr>
        <b/>
        <sz val="8.5"/>
        <rFont val="Times New Roman"/>
        <family val="1"/>
      </rPr>
      <t>Cash Flow before Debt Service</t>
    </r>
  </si>
  <si>
    <r>
      <rPr>
        <sz val="8.5"/>
        <rFont val="Times New Roman"/>
        <family val="1"/>
      </rPr>
      <t>Less KC Debt Sevice for 100% finance of Purchase price</t>
    </r>
  </si>
  <si>
    <t>based on PSB debt schedule assumptions</t>
  </si>
  <si>
    <r>
      <rPr>
        <b/>
        <sz val="8.5"/>
        <rFont val="Times New Roman"/>
        <family val="1"/>
      </rPr>
      <t>Cash Flow after Debt Service</t>
    </r>
  </si>
  <si>
    <r>
      <rPr>
        <sz val="8.5"/>
        <rFont val="Times New Roman"/>
        <family val="1"/>
      </rPr>
      <t>Plus KC Savings for not paying Contract Rent</t>
    </r>
  </si>
  <si>
    <r>
      <rPr>
        <sz val="8.5"/>
        <rFont val="Times New Roman"/>
        <family val="1"/>
      </rPr>
      <t>Plus Equity Buildup for Debt Paydown of Principal</t>
    </r>
  </si>
  <si>
    <r>
      <rPr>
        <b/>
        <sz val="8.5"/>
        <rFont val="Times New Roman"/>
        <family val="1"/>
      </rPr>
      <t>= Net Benefit to KC for Owning versus Leasing Property</t>
    </r>
  </si>
  <si>
    <t>Sum Total of Net Benefit for July 2024 through December 2026:</t>
  </si>
  <si>
    <t>July 2024 - Dec 2026</t>
  </si>
  <si>
    <r>
      <rPr>
        <b/>
        <sz val="9.5"/>
        <rFont val="Times New Roman"/>
        <family val="1"/>
      </rPr>
      <t>Net Present Value of Benefit @ 7% Discount Rate:</t>
    </r>
  </si>
  <si>
    <t>removed net present value calculation - not relevant for current analysis</t>
  </si>
  <si>
    <t>Assumes that King County occupies 104,247 sf of space currently leased (86,998) plus optional new occupancy space (17,249 sf), paying no base rent. Assumes that all other tenants  renew at the end of their lease terms at a 65% probability, and that no vacant space is leased. . Benefit analysis accounts for payment of debt service based loan for 100% of
$36,640,000 purchase price for 20‐year amortizing payments at assumed KC cost of funds of $2,970,000/yr.  Benefit analysis includes accounting for not paying contract rent that would be owed to owner if the property is not purchased, and for the equity buildup resulting from paying down the loan amount by the principal portion of debt service each year.</t>
  </si>
  <si>
    <t>notes - scenario 2: assume lease renewals at 65%, no new leases</t>
  </si>
  <si>
    <t>assumes lease renewals at 65%</t>
  </si>
  <si>
    <t>Assumes that King County occupies 104,247 sf of space currently leased (86,998) plus optional new occupancy space (17,249 sf), paying no base rent. Assumes that all other tenants do renew at the end of their lease terms, and that 20,000 sf is leased/yr.  Benefit analysis accounts for payment of debt service of $2,970,000/yr.  Also including the cost of Leasing commissions and Tenant Improvements, which are customary owner costs. Benefit analysis includes accounting for not paying contract rent that would be owed to owner if the property is not purchased, and for the equity buildup resulting from paying down the loan amount by the principal portion of debt service each year.</t>
  </si>
  <si>
    <t>2027
Forecast</t>
  </si>
  <si>
    <t>2028
Forecast</t>
  </si>
  <si>
    <t>2029
Forecast</t>
  </si>
  <si>
    <t>notes - scenario 3: assume lease renewals at 100%, new leases - additional 20,000 sqft per year starting at @$34/sqft, inflated each year</t>
  </si>
  <si>
    <t>assumes lease renewals at 100%, additional leases each year</t>
  </si>
  <si>
    <t>assumes 5% increase each year</t>
  </si>
  <si>
    <t>assumes 3% increase each year</t>
  </si>
  <si>
    <t>assumes 1.5% inflation and $1.97/sqft for additional sqftage (per appraisal)</t>
  </si>
  <si>
    <t>assumes 1.5% inflation and $2.70/sqft for additional sqftage (per appraisal)</t>
  </si>
  <si>
    <t>assumes 1.5% inflation and $1.65/sqft for additional sqftage (per appraisal)</t>
  </si>
  <si>
    <t>assumes 1.5% inflation and $2.75/sqft for additional sqftage (per appraisal)</t>
  </si>
  <si>
    <t>assumes 1.5% inflation and $1.45/sqft for additional sqftage (per appraisal)</t>
  </si>
  <si>
    <t>assumes 2.5% of total tenant revenue</t>
  </si>
  <si>
    <t>definition: operating expenses not recoverable from tenants, assumes $0.10/sqft for additional sqftage (per appraisal)</t>
  </si>
  <si>
    <t>assumes $14/sqft for leasing commission, $65/sqft for Tis</t>
  </si>
  <si>
    <t>assumes 2.5% inflation each year</t>
  </si>
  <si>
    <t xml:space="preserve"> = Net Benefit to KC for Owning v. Leasing w/o Equity Buildup Included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</si>
</sst>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3" formatCode="_(* #,##0.00_);_(* \(#,##0.00\);_(* &quot;-&quot;??_);_(@_)"/>
    <numFmt numFmtId="164" formatCode="\$#,##0"/>
    <numFmt numFmtId="165" formatCode="\$#,##0_);\(\$#,##0\)"/>
    <numFmt numFmtId="166" formatCode="\$0"/>
    <numFmt numFmtId="167" formatCode="_(* #,##0_);_(* \(#,##0\);_(* &quot;-&quot;??_);_(@_)"/>
    <numFmt numFmtId="168" formatCode="0.0%"/>
  </numFmts>
  <fonts count="11">
    <font>
      <sz val="10"/>
      <color rgb="FF000000"/>
      <name val="Times New Roman"/>
      <family val="2"/>
    </font>
    <font>
      <sz val="10"/>
      <name val="Arial"/>
      <family val="2"/>
    </font>
    <font>
      <b/>
      <sz val="12"/>
      <name val="Times New Roman"/>
      <family val="1"/>
    </font>
    <font>
      <sz val="8.5"/>
      <name val="Times New Roman"/>
      <family val="1"/>
    </font>
    <font>
      <sz val="8.5"/>
      <color rgb="FF000000"/>
      <name val="Times New Roman"/>
      <family val="2"/>
    </font>
    <font>
      <b/>
      <i/>
      <sz val="8.5"/>
      <name val="Times New Roman"/>
      <family val="1"/>
    </font>
    <font>
      <b/>
      <i/>
      <sz val="8.5"/>
      <color rgb="FF000000"/>
      <name val="Times New Roman"/>
      <family val="2"/>
    </font>
    <font>
      <b/>
      <sz val="8.5"/>
      <name val="Times New Roman"/>
      <family val="1"/>
    </font>
    <font>
      <b/>
      <sz val="8.5"/>
      <color rgb="FF000000"/>
      <name val="Times New Roman"/>
      <family val="2"/>
    </font>
    <font>
      <b/>
      <sz val="9.5"/>
      <name val="Times New Roman"/>
      <family val="1"/>
    </font>
    <font>
      <b/>
      <sz val="9.5"/>
      <color rgb="FF000000"/>
      <name val="Times New Roman"/>
      <family val="2"/>
    </font>
  </fonts>
  <fills count="7">
    <fill>
      <patternFill/>
    </fill>
    <fill>
      <patternFill patternType="gray125"/>
    </fill>
    <fill>
      <patternFill patternType="solid">
        <fgColor rgb="FFD9D9D9"/>
        <bgColor indexed="64"/>
      </patternFill>
    </fill>
    <fill>
      <patternFill patternType="solid">
        <fgColor theme="1"/>
        <bgColor indexed="64"/>
      </patternFill>
    </fill>
    <fill>
      <patternFill patternType="solid">
        <fgColor rgb="FF92CDDC"/>
        <bgColor indexed="64"/>
      </patternFill>
    </fill>
    <fill>
      <patternFill patternType="solid">
        <fgColor rgb="FFF1F1F1"/>
        <bgColor indexed="64"/>
      </patternFill>
    </fill>
    <fill>
      <patternFill patternType="solid">
        <fgColor theme="0" tint="-0.04997999966144562"/>
        <bgColor indexed="64"/>
      </patternFill>
    </fill>
  </fills>
  <borders count="8">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bottom/>
    </border>
    <border>
      <left style="thin">
        <color rgb="FF000000"/>
      </left>
      <right/>
      <top style="thin">
        <color rgb="FF000000"/>
      </top>
      <bottom style="thin">
        <color rgb="FF000000"/>
      </bottom>
    </border>
    <border>
      <left style="thin"/>
      <right style="thin"/>
      <top style="thin"/>
      <bottom style="thin"/>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64">
    <xf numFmtId="0" fontId="0" fillId="0" borderId="0" xfId="0" applyFill="1" applyBorder="1" applyAlignment="1">
      <alignment horizontal="left" vertical="top"/>
    </xf>
    <xf numFmtId="0" fontId="0" fillId="0" borderId="0" xfId="0" applyFill="1" applyBorder="1" applyAlignment="1">
      <alignment horizontal="left" wrapText="1"/>
    </xf>
    <xf numFmtId="0" fontId="0" fillId="2" borderId="1" xfId="0" applyFill="1" applyBorder="1" applyAlignment="1">
      <alignment horizontal="left" vertical="center" wrapText="1"/>
    </xf>
    <xf numFmtId="0" fontId="3" fillId="0" borderId="2" xfId="0" applyFont="1" applyFill="1" applyBorder="1" applyAlignment="1">
      <alignment horizontal="right" vertical="top" wrapText="1"/>
    </xf>
    <xf numFmtId="164" fontId="4" fillId="0" borderId="2" xfId="0" applyNumberFormat="1" applyFont="1" applyFill="1" applyBorder="1" applyAlignment="1">
      <alignment horizontal="left" vertical="top" indent="2" shrinkToFit="1"/>
    </xf>
    <xf numFmtId="164" fontId="4" fillId="0" borderId="2" xfId="0" applyNumberFormat="1" applyFont="1" applyFill="1" applyBorder="1" applyAlignment="1">
      <alignment horizontal="center" vertical="top" shrinkToFit="1"/>
    </xf>
    <xf numFmtId="0" fontId="3" fillId="0" borderId="3" xfId="0" applyFont="1" applyFill="1" applyBorder="1" applyAlignment="1">
      <alignment horizontal="right" vertical="top" wrapText="1"/>
    </xf>
    <xf numFmtId="0" fontId="5" fillId="0" borderId="2" xfId="0" applyFont="1" applyFill="1" applyBorder="1" applyAlignment="1">
      <alignment horizontal="right" vertical="top" wrapText="1"/>
    </xf>
    <xf numFmtId="164" fontId="6" fillId="0" borderId="2" xfId="0" applyNumberFormat="1" applyFont="1" applyFill="1" applyBorder="1" applyAlignment="1">
      <alignment horizontal="left" vertical="top" indent="2" shrinkToFit="1"/>
    </xf>
    <xf numFmtId="165" fontId="4" fillId="0" borderId="3" xfId="0" applyNumberFormat="1" applyFont="1" applyFill="1" applyBorder="1" applyAlignment="1">
      <alignment horizontal="left" vertical="top" indent="3" shrinkToFit="1"/>
    </xf>
    <xf numFmtId="0" fontId="3" fillId="0" borderId="4" xfId="0" applyFont="1" applyFill="1" applyBorder="1" applyAlignment="1">
      <alignment horizontal="right" vertical="top" wrapText="1"/>
    </xf>
    <xf numFmtId="164" fontId="4" fillId="0" borderId="4" xfId="0" applyNumberFormat="1" applyFont="1" applyFill="1" applyBorder="1" applyAlignment="1">
      <alignment horizontal="left" vertical="top" indent="2" shrinkToFit="1"/>
    </xf>
    <xf numFmtId="164" fontId="4" fillId="0" borderId="4" xfId="0" applyNumberFormat="1" applyFont="1" applyFill="1" applyBorder="1" applyAlignment="1">
      <alignment horizontal="center" vertical="top" shrinkToFit="1"/>
    </xf>
    <xf numFmtId="164" fontId="4" fillId="0" borderId="4" xfId="0" applyNumberFormat="1" applyFont="1" applyFill="1" applyBorder="1" applyAlignment="1">
      <alignment horizontal="left" vertical="top" indent="3" shrinkToFit="1"/>
    </xf>
    <xf numFmtId="0" fontId="5" fillId="0" borderId="4" xfId="0" applyFont="1" applyFill="1" applyBorder="1" applyAlignment="1">
      <alignment horizontal="right" vertical="top" wrapText="1"/>
    </xf>
    <xf numFmtId="164" fontId="6" fillId="0" borderId="4" xfId="0" applyNumberFormat="1" applyFont="1" applyFill="1" applyBorder="1" applyAlignment="1">
      <alignment horizontal="left" vertical="top" indent="2" shrinkToFit="1"/>
    </xf>
    <xf numFmtId="0" fontId="5" fillId="0" borderId="3" xfId="0" applyFont="1" applyFill="1" applyBorder="1" applyAlignment="1">
      <alignment horizontal="right" vertical="top" wrapText="1"/>
    </xf>
    <xf numFmtId="164" fontId="6" fillId="0" borderId="3" xfId="0" applyNumberFormat="1" applyFont="1" applyFill="1" applyBorder="1" applyAlignment="1">
      <alignment horizontal="left" vertical="top" indent="3" shrinkToFit="1"/>
    </xf>
    <xf numFmtId="164" fontId="6" fillId="0" borderId="3" xfId="0" applyNumberFormat="1" applyFont="1" applyFill="1" applyBorder="1" applyAlignment="1">
      <alignment horizontal="center" vertical="top" shrinkToFit="1"/>
    </xf>
    <xf numFmtId="0" fontId="3" fillId="0" borderId="1" xfId="0" applyFont="1" applyFill="1" applyBorder="1" applyAlignment="1">
      <alignment horizontal="right" vertical="top" wrapText="1"/>
    </xf>
    <xf numFmtId="166" fontId="4" fillId="0" borderId="1" xfId="0" applyNumberFormat="1" applyFont="1" applyFill="1" applyBorder="1" applyAlignment="1">
      <alignment horizontal="center" vertical="top" shrinkToFit="1"/>
    </xf>
    <xf numFmtId="165" fontId="4" fillId="0" borderId="1" xfId="0" applyNumberFormat="1" applyFont="1" applyFill="1" applyBorder="1" applyAlignment="1">
      <alignment horizontal="left" vertical="top" indent="2" shrinkToFit="1"/>
    </xf>
    <xf numFmtId="164" fontId="4" fillId="0" borderId="3" xfId="0" applyNumberFormat="1" applyFont="1" applyFill="1" applyBorder="1" applyAlignment="1">
      <alignment horizontal="left" vertical="top" indent="2" shrinkToFit="1"/>
    </xf>
    <xf numFmtId="164" fontId="4" fillId="0" borderId="3" xfId="0" applyNumberFormat="1" applyFont="1" applyFill="1" applyBorder="1" applyAlignment="1">
      <alignment horizontal="center" vertical="top" shrinkToFit="1"/>
    </xf>
    <xf numFmtId="0" fontId="7" fillId="0" borderId="1" xfId="0" applyFont="1" applyFill="1" applyBorder="1" applyAlignment="1">
      <alignment horizontal="right" vertical="top" wrapText="1"/>
    </xf>
    <xf numFmtId="164" fontId="8" fillId="0" borderId="1" xfId="0" applyNumberFormat="1" applyFont="1" applyFill="1" applyBorder="1" applyAlignment="1">
      <alignment horizontal="left" vertical="top" indent="2" shrinkToFit="1"/>
    </xf>
    <xf numFmtId="0" fontId="0" fillId="0" borderId="0" xfId="0" applyFill="1" applyBorder="1" applyAlignment="1">
      <alignment horizontal="left" vertical="center" wrapText="1"/>
    </xf>
    <xf numFmtId="167" fontId="4" fillId="0" borderId="2" xfId="18" applyNumberFormat="1" applyFont="1" applyFill="1" applyBorder="1" applyAlignment="1">
      <alignment horizontal="left" vertical="top" indent="2" shrinkToFit="1"/>
    </xf>
    <xf numFmtId="167" fontId="4" fillId="0" borderId="2" xfId="18" applyNumberFormat="1" applyFont="1" applyFill="1" applyBorder="1" applyAlignment="1">
      <alignment horizontal="center" vertical="top" shrinkToFit="1"/>
    </xf>
    <xf numFmtId="167" fontId="0" fillId="0" borderId="4" xfId="18" applyNumberFormat="1" applyFont="1" applyFill="1" applyBorder="1" applyAlignment="1">
      <alignment horizontal="left" vertical="top" wrapText="1" indent="2"/>
    </xf>
    <xf numFmtId="0" fontId="3" fillId="0" borderId="4" xfId="0" applyFont="1" applyFill="1" applyBorder="1" applyAlignment="1">
      <alignment horizontal="right" vertical="top" wrapText="1"/>
    </xf>
    <xf numFmtId="167" fontId="4" fillId="0" borderId="4" xfId="18" applyNumberFormat="1" applyFont="1" applyFill="1" applyBorder="1" applyAlignment="1">
      <alignment horizontal="left" vertical="top" indent="2" shrinkToFit="1"/>
    </xf>
    <xf numFmtId="167" fontId="3" fillId="0" borderId="4" xfId="18" applyNumberFormat="1" applyFont="1" applyFill="1" applyBorder="1" applyAlignment="1">
      <alignment horizontal="left" vertical="top" wrapText="1" indent="2"/>
    </xf>
    <xf numFmtId="0" fontId="7" fillId="2" borderId="1" xfId="0" applyFont="1" applyFill="1" applyBorder="1" applyAlignment="1">
      <alignment horizontal="left" vertical="top" wrapText="1" indent="3"/>
    </xf>
    <xf numFmtId="8" fontId="0" fillId="0" borderId="0" xfId="0" applyNumberFormat="1" applyFill="1" applyBorder="1" applyAlignment="1">
      <alignment horizontal="left" vertical="top"/>
    </xf>
    <xf numFmtId="0" fontId="9" fillId="3" borderId="1" xfId="0" applyFont="1" applyFill="1" applyBorder="1" applyAlignment="1">
      <alignment horizontal="right" vertical="top" wrapText="1"/>
    </xf>
    <xf numFmtId="164" fontId="10" fillId="3" borderId="1" xfId="0" applyNumberFormat="1" applyFont="1" applyFill="1" applyBorder="1" applyAlignment="1">
      <alignment horizontal="left" vertical="top" indent="2" shrinkToFit="1"/>
    </xf>
    <xf numFmtId="6" fontId="0" fillId="3" borderId="0" xfId="0" applyNumberFormat="1" applyFill="1" applyBorder="1" applyAlignment="1">
      <alignment horizontal="left" vertical="center" wrapText="1"/>
    </xf>
    <xf numFmtId="164" fontId="10" fillId="3" borderId="0" xfId="0" applyNumberFormat="1" applyFont="1" applyFill="1" applyBorder="1" applyAlignment="1">
      <alignment horizontal="left" vertical="top" indent="2" shrinkToFit="1"/>
    </xf>
    <xf numFmtId="165" fontId="8" fillId="0" borderId="1" xfId="0" applyNumberFormat="1" applyFont="1" applyFill="1" applyBorder="1" applyAlignment="1">
      <alignment horizontal="left" vertical="top" indent="2" shrinkToFit="1"/>
    </xf>
    <xf numFmtId="164" fontId="8" fillId="0" borderId="5" xfId="0" applyNumberFormat="1" applyFont="1" applyFill="1" applyBorder="1" applyAlignment="1">
      <alignment horizontal="left" vertical="top" indent="2" shrinkToFit="1"/>
    </xf>
    <xf numFmtId="164" fontId="0" fillId="0" borderId="6" xfId="0" applyNumberFormat="1" applyFill="1" applyBorder="1" applyAlignment="1">
      <alignment horizontal="left" wrapText="1"/>
    </xf>
    <xf numFmtId="0" fontId="7" fillId="0" borderId="1" xfId="0" applyFont="1" applyFill="1" applyBorder="1" applyAlignment="1">
      <alignment horizontal="right" vertical="top" wrapText="1"/>
    </xf>
    <xf numFmtId="0" fontId="2" fillId="2" borderId="0" xfId="0" applyFont="1" applyFill="1" applyBorder="1" applyAlignment="1">
      <alignment horizontal="center" vertical="top" wrapText="1"/>
    </xf>
    <xf numFmtId="0" fontId="0" fillId="4" borderId="0" xfId="0" applyFill="1" applyBorder="1" applyAlignment="1">
      <alignment horizontal="left" vertical="center" wrapText="1"/>
    </xf>
    <xf numFmtId="0" fontId="0" fillId="5" borderId="0" xfId="0" applyFill="1" applyBorder="1" applyAlignment="1">
      <alignment horizontal="left" vertical="top" wrapText="1"/>
    </xf>
    <xf numFmtId="167" fontId="0" fillId="0" borderId="0" xfId="18" applyNumberFormat="1" applyFont="1" applyFill="1" applyBorder="1" applyAlignment="1">
      <alignment horizontal="left" wrapText="1"/>
    </xf>
    <xf numFmtId="9" fontId="0" fillId="0" borderId="0" xfId="15" applyFont="1" applyFill="1" applyBorder="1" applyAlignment="1">
      <alignment horizontal="left" wrapText="1"/>
    </xf>
    <xf numFmtId="168" fontId="0" fillId="0" borderId="0" xfId="15" applyNumberFormat="1" applyFont="1" applyFill="1" applyBorder="1" applyAlignment="1">
      <alignment horizontal="left" wrapText="1"/>
    </xf>
    <xf numFmtId="167" fontId="0" fillId="5" borderId="0" xfId="18" applyNumberFormat="1" applyFont="1" applyFill="1" applyBorder="1" applyAlignment="1">
      <alignment horizontal="left" vertical="top" wrapText="1"/>
    </xf>
    <xf numFmtId="167" fontId="4" fillId="0" borderId="1" xfId="18" applyNumberFormat="1" applyFont="1" applyFill="1" applyBorder="1" applyAlignment="1">
      <alignment horizontal="center" vertical="top" shrinkToFit="1"/>
    </xf>
    <xf numFmtId="0" fontId="2" fillId="2" borderId="5" xfId="0" applyFont="1" applyFill="1" applyBorder="1" applyAlignment="1">
      <alignment horizontal="center" vertical="top" wrapText="1"/>
    </xf>
    <xf numFmtId="0" fontId="2" fillId="2" borderId="7" xfId="0" applyFont="1" applyFill="1" applyBorder="1" applyAlignment="1">
      <alignment horizontal="center" vertical="top" wrapText="1"/>
    </xf>
    <xf numFmtId="0" fontId="0" fillId="4" borderId="5" xfId="0" applyFill="1" applyBorder="1" applyAlignment="1">
      <alignment horizontal="left" vertical="center" wrapText="1"/>
    </xf>
    <xf numFmtId="0" fontId="0" fillId="4" borderId="7" xfId="0" applyFill="1" applyBorder="1" applyAlignment="1">
      <alignment horizontal="left" vertical="center" wrapText="1"/>
    </xf>
    <xf numFmtId="0" fontId="0" fillId="5" borderId="5" xfId="0" applyFill="1" applyBorder="1" applyAlignment="1">
      <alignment horizontal="left" vertical="top" wrapText="1"/>
    </xf>
    <xf numFmtId="0" fontId="0" fillId="5" borderId="7" xfId="0" applyFill="1" applyBorder="1" applyAlignment="1">
      <alignment horizontal="left" vertical="top" wrapText="1"/>
    </xf>
    <xf numFmtId="0" fontId="7" fillId="0" borderId="2" xfId="0" applyFont="1" applyFill="1" applyBorder="1" applyAlignment="1">
      <alignment horizontal="right" vertical="top" wrapText="1"/>
    </xf>
    <xf numFmtId="164" fontId="8" fillId="0" borderId="2" xfId="0" applyNumberFormat="1" applyFont="1" applyFill="1" applyBorder="1" applyAlignment="1">
      <alignment horizontal="left" vertical="top" indent="2" shrinkToFit="1"/>
    </xf>
    <xf numFmtId="0" fontId="8" fillId="6" borderId="6" xfId="0" applyFont="1" applyFill="1" applyBorder="1" applyAlignment="1">
      <alignment horizontal="right" wrapText="1"/>
    </xf>
    <xf numFmtId="0" fontId="0" fillId="6" borderId="6" xfId="0" applyFill="1" applyBorder="1" applyAlignment="1">
      <alignment horizontal="left" wrapText="1"/>
    </xf>
    <xf numFmtId="164" fontId="8" fillId="6" borderId="6" xfId="0" applyNumberFormat="1" applyFont="1" applyFill="1" applyBorder="1" applyAlignment="1">
      <alignment horizontal="left" vertical="top" indent="2" shrinkToFit="1"/>
    </xf>
    <xf numFmtId="164" fontId="8" fillId="6" borderId="6" xfId="0" applyNumberFormat="1" applyFont="1" applyFill="1" applyBorder="1" applyAlignment="1">
      <alignment horizontal="center" wrapText="1"/>
    </xf>
    <xf numFmtId="164" fontId="8" fillId="6" borderId="6" xfId="0" applyNumberFormat="1" applyFont="1" applyFill="1" applyBorder="1" applyAlignment="1">
      <alignment horizontal="center"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7"/>
  <sheetViews>
    <sheetView workbookViewId="0" topLeftCell="A16">
      <selection activeCell="A31" sqref="A31:E31"/>
    </sheetView>
  </sheetViews>
  <sheetFormatPr defaultColWidth="9.33203125" defaultRowHeight="12.75"/>
  <cols>
    <col min="1" max="1" width="59.33203125" style="0" customWidth="1"/>
    <col min="2" max="2" width="18.66015625" style="0" hidden="1" customWidth="1"/>
    <col min="3" max="3" width="18.66015625" style="0" customWidth="1"/>
    <col min="4" max="4" width="17.33203125" style="0" customWidth="1"/>
    <col min="5" max="5" width="18.66015625" style="0" customWidth="1"/>
    <col min="6" max="6" width="44.66015625" style="0" customWidth="1"/>
  </cols>
  <sheetData>
    <row r="1" spans="1:5" ht="24" customHeight="1">
      <c r="A1" s="51" t="s">
        <v>0</v>
      </c>
      <c r="B1" s="52"/>
      <c r="C1" s="52"/>
      <c r="D1" s="52"/>
      <c r="E1" s="52"/>
    </row>
    <row r="2" spans="1:5" ht="23.15" customHeight="1">
      <c r="A2" s="53"/>
      <c r="B2" s="54"/>
      <c r="C2" s="54"/>
      <c r="D2" s="54"/>
      <c r="E2" s="54"/>
    </row>
    <row r="3" spans="1:5" ht="74.4" customHeight="1">
      <c r="A3" s="55" t="s">
        <v>1</v>
      </c>
      <c r="B3" s="56"/>
      <c r="C3" s="56"/>
      <c r="D3" s="56"/>
      <c r="E3" s="56"/>
    </row>
    <row r="4" spans="1:5" ht="8.4" customHeight="1">
      <c r="A4" s="1"/>
      <c r="B4" s="1"/>
      <c r="C4" s="1"/>
      <c r="D4" s="1"/>
      <c r="E4" s="1"/>
    </row>
    <row r="5" spans="1:6" ht="24" customHeight="1">
      <c r="A5" s="2"/>
      <c r="B5" s="33" t="s">
        <v>2</v>
      </c>
      <c r="C5" s="33" t="s">
        <v>3</v>
      </c>
      <c r="D5" s="33" t="s">
        <v>4</v>
      </c>
      <c r="E5" s="33" t="s">
        <v>5</v>
      </c>
      <c r="F5" s="33" t="s">
        <v>6</v>
      </c>
    </row>
    <row r="6" spans="1:5" ht="12" customHeight="1">
      <c r="A6" s="3" t="s">
        <v>7</v>
      </c>
      <c r="B6" s="27">
        <v>3294069</v>
      </c>
      <c r="C6" s="27">
        <f>B6/2</f>
        <v>1647034.5</v>
      </c>
      <c r="D6" s="28">
        <v>3208620</v>
      </c>
      <c r="E6" s="28">
        <v>1445795</v>
      </c>
    </row>
    <row r="7" spans="1:5" ht="12.75">
      <c r="A7" s="30" t="s">
        <v>8</v>
      </c>
      <c r="B7" s="31">
        <v>500016</v>
      </c>
      <c r="C7" s="31">
        <f aca="true" t="shared" si="0" ref="C7:C10">B7/2</f>
        <v>250008</v>
      </c>
      <c r="D7" s="32">
        <v>500734</v>
      </c>
      <c r="E7" s="32">
        <v>395720</v>
      </c>
    </row>
    <row r="8" spans="1:5" ht="12.75">
      <c r="A8" s="10" t="s">
        <v>9</v>
      </c>
      <c r="B8" s="29">
        <v>40000</v>
      </c>
      <c r="C8" s="29">
        <f t="shared" si="0"/>
        <v>20000</v>
      </c>
      <c r="D8" s="29">
        <v>41200</v>
      </c>
      <c r="E8" s="29">
        <v>42436</v>
      </c>
    </row>
    <row r="9" spans="1:5" ht="12" customHeight="1">
      <c r="A9" s="7" t="s">
        <v>10</v>
      </c>
      <c r="B9" s="8">
        <f>SUM(B6:B8)</f>
        <v>3834085</v>
      </c>
      <c r="C9" s="8">
        <f>SUM(C6:C8)</f>
        <v>1917042.5</v>
      </c>
      <c r="D9" s="8">
        <f>SUM(D6:D8)</f>
        <v>3750554</v>
      </c>
      <c r="E9" s="8">
        <f>SUM(E6:E8)</f>
        <v>1883951</v>
      </c>
    </row>
    <row r="10" spans="1:6" ht="12" customHeight="1">
      <c r="A10" s="6" t="s">
        <v>11</v>
      </c>
      <c r="B10" s="9">
        <f>-B9*0.01</f>
        <v>-38340.85</v>
      </c>
      <c r="C10" s="9">
        <f t="shared" si="0"/>
        <v>-19170.425</v>
      </c>
      <c r="D10" s="9">
        <f aca="true" t="shared" si="1" ref="D10:E10">-D9*0.01</f>
        <v>-37505.54</v>
      </c>
      <c r="E10" s="9">
        <f t="shared" si="1"/>
        <v>-18839.510000000002</v>
      </c>
      <c r="F10" t="s">
        <v>12</v>
      </c>
    </row>
    <row r="11" spans="1:5" ht="12" customHeight="1">
      <c r="A11" s="24" t="s">
        <v>13</v>
      </c>
      <c r="B11" s="25">
        <f>B9+B10</f>
        <v>3795744.15</v>
      </c>
      <c r="C11" s="25">
        <f>C9+C10</f>
        <v>1897872.075</v>
      </c>
      <c r="D11" s="25">
        <f aca="true" t="shared" si="2" ref="D11:E11">D9+D10</f>
        <v>3713048.46</v>
      </c>
      <c r="E11" s="25">
        <f t="shared" si="2"/>
        <v>1865111.49</v>
      </c>
    </row>
    <row r="12" spans="1:5" ht="17.15" customHeight="1">
      <c r="A12" s="3" t="s">
        <v>14</v>
      </c>
      <c r="B12" s="4">
        <v>507776</v>
      </c>
      <c r="C12" s="5">
        <f>B12/2</f>
        <v>253888</v>
      </c>
      <c r="D12" s="5">
        <v>515814</v>
      </c>
      <c r="E12" s="5">
        <v>486769</v>
      </c>
    </row>
    <row r="13" spans="1:5" ht="12" customHeight="1">
      <c r="A13" s="10" t="s">
        <v>15</v>
      </c>
      <c r="B13" s="11">
        <v>848756</v>
      </c>
      <c r="C13" s="12">
        <f aca="true" t="shared" si="3" ref="C13:C21">B13/2</f>
        <v>424378</v>
      </c>
      <c r="D13" s="12">
        <v>872246</v>
      </c>
      <c r="E13" s="12">
        <v>886210</v>
      </c>
    </row>
    <row r="14" spans="1:5" ht="12" customHeight="1">
      <c r="A14" s="10" t="s">
        <v>16</v>
      </c>
      <c r="B14" s="11">
        <v>514264</v>
      </c>
      <c r="C14" s="12">
        <f t="shared" si="3"/>
        <v>257132</v>
      </c>
      <c r="D14" s="12">
        <v>509601</v>
      </c>
      <c r="E14" s="12">
        <v>400597</v>
      </c>
    </row>
    <row r="15" spans="1:5" ht="12" customHeight="1">
      <c r="A15" s="10" t="s">
        <v>17</v>
      </c>
      <c r="B15" s="11">
        <v>542032</v>
      </c>
      <c r="C15" s="12">
        <f t="shared" si="3"/>
        <v>271016</v>
      </c>
      <c r="D15" s="12">
        <v>558293</v>
      </c>
      <c r="E15" s="12">
        <v>575041</v>
      </c>
    </row>
    <row r="16" spans="1:5" ht="12" customHeight="1">
      <c r="A16" s="10" t="s">
        <v>18</v>
      </c>
      <c r="B16" s="11">
        <v>476331</v>
      </c>
      <c r="C16" s="12">
        <f t="shared" si="3"/>
        <v>238165.5</v>
      </c>
      <c r="D16" s="12">
        <v>490621</v>
      </c>
      <c r="E16" s="12">
        <v>505339</v>
      </c>
    </row>
    <row r="17" spans="1:5" ht="12" customHeight="1">
      <c r="A17" s="10" t="s">
        <v>19</v>
      </c>
      <c r="B17" s="13">
        <v>94894</v>
      </c>
      <c r="C17" s="12">
        <f t="shared" si="3"/>
        <v>47447</v>
      </c>
      <c r="D17" s="12">
        <v>92826</v>
      </c>
      <c r="E17" s="12">
        <v>46628</v>
      </c>
    </row>
    <row r="18" spans="1:5" ht="15" customHeight="1">
      <c r="A18" s="14" t="s">
        <v>20</v>
      </c>
      <c r="B18" s="15">
        <f>SUM(B12:B17)</f>
        <v>2984053</v>
      </c>
      <c r="C18" s="15">
        <f>SUM(C12:C17)</f>
        <v>1492026.5</v>
      </c>
      <c r="D18" s="15">
        <f>SUM(D12:D17)</f>
        <v>3039401</v>
      </c>
      <c r="E18" s="15">
        <f>SUM(E12:E17)</f>
        <v>2900584</v>
      </c>
    </row>
    <row r="19" spans="1:6" ht="12" customHeight="1">
      <c r="A19" s="10" t="s">
        <v>21</v>
      </c>
      <c r="B19" s="11">
        <f>D19*0.965</f>
        <v>101325</v>
      </c>
      <c r="C19" s="12">
        <f t="shared" si="3"/>
        <v>50662.5</v>
      </c>
      <c r="D19" s="12">
        <v>105000</v>
      </c>
      <c r="E19" s="12">
        <f>D19*1.035</f>
        <v>108674.99999999999</v>
      </c>
      <c r="F19" t="s">
        <v>22</v>
      </c>
    </row>
    <row r="20" spans="1:6" ht="14.15" customHeight="1">
      <c r="A20" s="14" t="s">
        <v>23</v>
      </c>
      <c r="B20" s="15">
        <f>SUM(B19:B19)</f>
        <v>101325</v>
      </c>
      <c r="C20" s="15">
        <f>SUM(C19:C19)</f>
        <v>50662.5</v>
      </c>
      <c r="D20" s="15">
        <f>SUM(D19:D19)</f>
        <v>105000</v>
      </c>
      <c r="E20" s="15">
        <f>SUM(E19:E19)</f>
        <v>108674.99999999999</v>
      </c>
      <c r="F20" t="s">
        <v>24</v>
      </c>
    </row>
    <row r="21" spans="1:6" ht="18.9" customHeight="1">
      <c r="A21" s="16" t="s">
        <v>25</v>
      </c>
      <c r="B21" s="17">
        <v>32850</v>
      </c>
      <c r="C21" s="18">
        <f t="shared" si="3"/>
        <v>16425</v>
      </c>
      <c r="D21" s="18">
        <v>33836</v>
      </c>
      <c r="E21" s="18">
        <v>34851</v>
      </c>
      <c r="F21" t="s">
        <v>26</v>
      </c>
    </row>
    <row r="22" spans="1:5" ht="15.9" customHeight="1">
      <c r="A22" s="24" t="s">
        <v>27</v>
      </c>
      <c r="B22" s="25">
        <f>SUM(B18,B20,B21)</f>
        <v>3118228</v>
      </c>
      <c r="C22" s="25">
        <f>SUM(C18,C20,C21)</f>
        <v>1559114</v>
      </c>
      <c r="D22" s="25">
        <f>SUM(D18,D20,D21)</f>
        <v>3178237</v>
      </c>
      <c r="E22" s="25">
        <f aca="true" t="shared" si="4" ref="E22">SUM(E18,E20,E21)</f>
        <v>3044110</v>
      </c>
    </row>
    <row r="23" spans="1:5" ht="15" customHeight="1">
      <c r="A23" s="24" t="s">
        <v>28</v>
      </c>
      <c r="B23" s="39">
        <f>B11-B22</f>
        <v>677516.1499999999</v>
      </c>
      <c r="C23" s="39">
        <f>C11-C22</f>
        <v>338758.07499999995</v>
      </c>
      <c r="D23" s="39">
        <f aca="true" t="shared" si="5" ref="D23">D11-D22</f>
        <v>534811.46</v>
      </c>
      <c r="E23" s="39">
        <f>E11-E22</f>
        <v>-1178998.51</v>
      </c>
    </row>
    <row r="24" spans="1:5" ht="15.9" customHeight="1">
      <c r="A24" s="19" t="s">
        <v>29</v>
      </c>
      <c r="B24" s="20">
        <v>0</v>
      </c>
      <c r="C24" s="20">
        <v>0</v>
      </c>
      <c r="D24" s="20">
        <v>0</v>
      </c>
      <c r="E24" s="20">
        <v>0</v>
      </c>
    </row>
    <row r="25" spans="1:5" ht="15.9" customHeight="1">
      <c r="A25" s="24" t="s">
        <v>30</v>
      </c>
      <c r="B25" s="39">
        <f>B23</f>
        <v>677516.1499999999</v>
      </c>
      <c r="C25" s="39">
        <f>C23</f>
        <v>338758.07499999995</v>
      </c>
      <c r="D25" s="39">
        <f aca="true" t="shared" si="6" ref="D25:E25">D23</f>
        <v>534811.46</v>
      </c>
      <c r="E25" s="39">
        <f t="shared" si="6"/>
        <v>-1178998.51</v>
      </c>
    </row>
    <row r="26" spans="1:6" ht="15" customHeight="1">
      <c r="A26" s="19" t="s">
        <v>31</v>
      </c>
      <c r="B26" s="21">
        <v>-2970000</v>
      </c>
      <c r="C26" s="21">
        <f>B26/2</f>
        <v>-1485000</v>
      </c>
      <c r="D26" s="21">
        <v>-2970000</v>
      </c>
      <c r="E26" s="21">
        <v>-2970000</v>
      </c>
      <c r="F26" t="s">
        <v>32</v>
      </c>
    </row>
    <row r="27" spans="1:5" ht="15.9" customHeight="1">
      <c r="A27" s="24" t="s">
        <v>33</v>
      </c>
      <c r="B27" s="39">
        <f>B25+B26</f>
        <v>-2292483.85</v>
      </c>
      <c r="C27" s="39">
        <f>C25+C26</f>
        <v>-1146241.925</v>
      </c>
      <c r="D27" s="39">
        <f aca="true" t="shared" si="7" ref="D27:E27">D25+D26</f>
        <v>-2435188.54</v>
      </c>
      <c r="E27" s="39">
        <f t="shared" si="7"/>
        <v>-4148998.51</v>
      </c>
    </row>
    <row r="28" spans="1:5" ht="15" customHeight="1">
      <c r="A28" s="3" t="s">
        <v>34</v>
      </c>
      <c r="B28" s="4">
        <v>4306933</v>
      </c>
      <c r="C28" s="4">
        <f>B28/2</f>
        <v>2153466.5</v>
      </c>
      <c r="D28" s="5">
        <v>4409340</v>
      </c>
      <c r="E28" s="5">
        <v>4662900</v>
      </c>
    </row>
    <row r="29" spans="1:5" ht="15.9" customHeight="1">
      <c r="A29" s="6" t="s">
        <v>35</v>
      </c>
      <c r="B29" s="22">
        <v>1198855</v>
      </c>
      <c r="C29" s="23">
        <f>B29/2</f>
        <v>599427.5</v>
      </c>
      <c r="D29" s="23">
        <v>1249806</v>
      </c>
      <c r="E29" s="23">
        <v>1302923</v>
      </c>
    </row>
    <row r="30" spans="1:5" ht="15.65" customHeight="1">
      <c r="A30" s="24" t="s">
        <v>36</v>
      </c>
      <c r="B30" s="25">
        <f>B28+B29+B27</f>
        <v>3213304.15</v>
      </c>
      <c r="C30" s="25">
        <f>C28+C29+C27</f>
        <v>1606652.075</v>
      </c>
      <c r="D30" s="25">
        <f aca="true" t="shared" si="8" ref="D30:E30">D28+D29+D27</f>
        <v>3223957.46</v>
      </c>
      <c r="E30" s="25">
        <f t="shared" si="8"/>
        <v>1816824.4900000002</v>
      </c>
    </row>
    <row r="31" spans="1:5" ht="12.75">
      <c r="A31" s="59" t="s">
        <v>61</v>
      </c>
      <c r="B31" s="1"/>
      <c r="C31" s="63">
        <f>C28+C27</f>
        <v>1007224.575</v>
      </c>
      <c r="D31" s="62">
        <f>D28+D27</f>
        <v>1974151.46</v>
      </c>
      <c r="E31" s="62">
        <f aca="true" t="shared" si="9" ref="E31">E28+E27</f>
        <v>513901.4900000002</v>
      </c>
    </row>
    <row r="32" spans="1:5" ht="12.75">
      <c r="A32" s="1"/>
      <c r="D32" s="1"/>
      <c r="E32" s="1"/>
    </row>
    <row r="33" spans="1:6" ht="14.4" customHeight="1">
      <c r="A33" s="42" t="s">
        <v>37</v>
      </c>
      <c r="B33" s="40">
        <v>7945712</v>
      </c>
      <c r="C33" s="41">
        <f>SUM(C30:E30)</f>
        <v>6647434.025</v>
      </c>
      <c r="E33" s="1"/>
      <c r="F33" t="s">
        <v>38</v>
      </c>
    </row>
    <row r="34" spans="1:6" ht="18.15" customHeight="1">
      <c r="A34" s="35" t="s">
        <v>39</v>
      </c>
      <c r="B34" s="36">
        <v>6902343</v>
      </c>
      <c r="C34" s="38"/>
      <c r="D34" s="37"/>
      <c r="E34" s="26"/>
      <c r="F34" t="s">
        <v>40</v>
      </c>
    </row>
    <row r="35" spans="2:5" ht="12.75">
      <c r="B35" s="34"/>
      <c r="C35" s="34"/>
      <c r="D35" s="34"/>
      <c r="E35" s="34"/>
    </row>
    <row r="37" spans="2:3" ht="12.75">
      <c r="B37" s="34"/>
      <c r="C37" s="34"/>
    </row>
  </sheetData>
  <mergeCells count="3">
    <mergeCell ref="A1:E1"/>
    <mergeCell ref="A2:E2"/>
    <mergeCell ref="A3:E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3B224-6A1C-4C00-B5BA-B61772CDE19E}">
  <dimension ref="A1:F37"/>
  <sheetViews>
    <sheetView workbookViewId="0" topLeftCell="A16">
      <selection activeCell="A31" sqref="A31:E31"/>
    </sheetView>
  </sheetViews>
  <sheetFormatPr defaultColWidth="9.33203125" defaultRowHeight="12.75"/>
  <cols>
    <col min="1" max="1" width="59.33203125" style="0" customWidth="1"/>
    <col min="2" max="2" width="18.66015625" style="0" hidden="1" customWidth="1"/>
    <col min="3" max="3" width="18.66015625" style="0" customWidth="1"/>
    <col min="4" max="4" width="17.33203125" style="0" customWidth="1"/>
    <col min="5" max="5" width="18.66015625" style="0" customWidth="1"/>
    <col min="6" max="6" width="38.33203125" style="0" customWidth="1"/>
  </cols>
  <sheetData>
    <row r="1" spans="1:5" ht="24" customHeight="1">
      <c r="A1" s="51" t="s">
        <v>0</v>
      </c>
      <c r="B1" s="52"/>
      <c r="C1" s="52"/>
      <c r="D1" s="52"/>
      <c r="E1" s="52"/>
    </row>
    <row r="2" spans="1:5" ht="23.15" customHeight="1">
      <c r="A2" s="53"/>
      <c r="B2" s="54"/>
      <c r="C2" s="54"/>
      <c r="D2" s="54"/>
      <c r="E2" s="54"/>
    </row>
    <row r="3" spans="1:5" ht="74.4" customHeight="1">
      <c r="A3" s="55" t="s">
        <v>41</v>
      </c>
      <c r="B3" s="56"/>
      <c r="C3" s="56"/>
      <c r="D3" s="56"/>
      <c r="E3" s="56"/>
    </row>
    <row r="4" spans="1:5" ht="8.4" customHeight="1">
      <c r="A4" s="1"/>
      <c r="B4" s="1"/>
      <c r="C4" s="1"/>
      <c r="D4" s="1"/>
      <c r="E4" s="1"/>
    </row>
    <row r="5" spans="1:6" ht="24" customHeight="1">
      <c r="A5" s="2"/>
      <c r="B5" s="33" t="s">
        <v>2</v>
      </c>
      <c r="C5" s="33" t="s">
        <v>3</v>
      </c>
      <c r="D5" s="33" t="s">
        <v>4</v>
      </c>
      <c r="E5" s="33" t="s">
        <v>5</v>
      </c>
      <c r="F5" s="33" t="s">
        <v>42</v>
      </c>
    </row>
    <row r="6" spans="1:5" ht="12" customHeight="1">
      <c r="A6" s="3" t="s">
        <v>7</v>
      </c>
      <c r="B6" s="27">
        <v>3294069</v>
      </c>
      <c r="C6" s="27">
        <f>B6/2</f>
        <v>1647034.5</v>
      </c>
      <c r="D6" s="28">
        <v>3208620</v>
      </c>
      <c r="E6" s="28">
        <v>2148901</v>
      </c>
    </row>
    <row r="7" spans="1:6" ht="12.75">
      <c r="A7" s="30" t="s">
        <v>8</v>
      </c>
      <c r="B7" s="31">
        <v>500016</v>
      </c>
      <c r="C7" s="31">
        <f aca="true" t="shared" si="0" ref="C7:C10">B7/2</f>
        <v>250008</v>
      </c>
      <c r="D7" s="32">
        <v>500734</v>
      </c>
      <c r="E7" s="32">
        <v>401005</v>
      </c>
      <c r="F7" t="s">
        <v>43</v>
      </c>
    </row>
    <row r="8" spans="1:6" ht="12.75">
      <c r="A8" s="10" t="s">
        <v>9</v>
      </c>
      <c r="B8" s="29">
        <v>40000</v>
      </c>
      <c r="C8" s="29">
        <f t="shared" si="0"/>
        <v>20000</v>
      </c>
      <c r="D8" s="29">
        <v>41200</v>
      </c>
      <c r="E8" s="29">
        <v>42436</v>
      </c>
      <c r="F8" t="s">
        <v>43</v>
      </c>
    </row>
    <row r="9" spans="1:5" ht="12" customHeight="1">
      <c r="A9" s="7" t="s">
        <v>10</v>
      </c>
      <c r="B9" s="8">
        <f>SUM(B6:B8)</f>
        <v>3834085</v>
      </c>
      <c r="C9" s="8">
        <f>SUM(C6:C8)</f>
        <v>1917042.5</v>
      </c>
      <c r="D9" s="8">
        <f>SUM(D6:D8)</f>
        <v>3750554</v>
      </c>
      <c r="E9" s="8">
        <f>SUM(E6:E8)</f>
        <v>2592342</v>
      </c>
    </row>
    <row r="10" spans="1:6" ht="12" customHeight="1">
      <c r="A10" s="6" t="s">
        <v>11</v>
      </c>
      <c r="B10" s="9">
        <f>-B9*0.01</f>
        <v>-38340.85</v>
      </c>
      <c r="C10" s="9">
        <f t="shared" si="0"/>
        <v>-19170.425</v>
      </c>
      <c r="D10" s="9">
        <f aca="true" t="shared" si="1" ref="D10:E10">-D9*0.01</f>
        <v>-37505.54</v>
      </c>
      <c r="E10" s="9">
        <f t="shared" si="1"/>
        <v>-25923.420000000002</v>
      </c>
      <c r="F10" t="s">
        <v>12</v>
      </c>
    </row>
    <row r="11" spans="1:5" ht="12" customHeight="1">
      <c r="A11" s="24" t="s">
        <v>13</v>
      </c>
      <c r="B11" s="25">
        <f>B9+B10</f>
        <v>3795744.15</v>
      </c>
      <c r="C11" s="25">
        <f>C9+C10</f>
        <v>1897872.075</v>
      </c>
      <c r="D11" s="25">
        <f aca="true" t="shared" si="2" ref="D11:E11">D9+D10</f>
        <v>3713048.46</v>
      </c>
      <c r="E11" s="25">
        <f t="shared" si="2"/>
        <v>2566418.58</v>
      </c>
    </row>
    <row r="12" spans="1:6" ht="17.15" customHeight="1">
      <c r="A12" s="3" t="s">
        <v>14</v>
      </c>
      <c r="B12" s="4">
        <v>507776</v>
      </c>
      <c r="C12" s="5">
        <f>B12/2</f>
        <v>253888</v>
      </c>
      <c r="D12" s="5">
        <v>515814</v>
      </c>
      <c r="E12" s="5">
        <v>520022</v>
      </c>
      <c r="F12" t="s">
        <v>43</v>
      </c>
    </row>
    <row r="13" spans="1:6" ht="12" customHeight="1">
      <c r="A13" s="10" t="s">
        <v>15</v>
      </c>
      <c r="B13" s="11">
        <v>848756</v>
      </c>
      <c r="C13" s="12">
        <f aca="true" t="shared" si="3" ref="C13:C21">B13/2</f>
        <v>424378</v>
      </c>
      <c r="D13" s="12">
        <v>872246</v>
      </c>
      <c r="E13" s="12">
        <v>895326</v>
      </c>
      <c r="F13" t="s">
        <v>43</v>
      </c>
    </row>
    <row r="14" spans="1:6" ht="12" customHeight="1">
      <c r="A14" s="10" t="s">
        <v>16</v>
      </c>
      <c r="B14" s="11">
        <v>514264</v>
      </c>
      <c r="C14" s="12">
        <f t="shared" si="3"/>
        <v>257132</v>
      </c>
      <c r="D14" s="12">
        <v>509601</v>
      </c>
      <c r="E14" s="12">
        <v>493437</v>
      </c>
      <c r="F14" t="s">
        <v>43</v>
      </c>
    </row>
    <row r="15" spans="1:6" ht="12" customHeight="1">
      <c r="A15" s="10" t="s">
        <v>17</v>
      </c>
      <c r="B15" s="11">
        <v>542032</v>
      </c>
      <c r="C15" s="12">
        <f t="shared" si="3"/>
        <v>271016</v>
      </c>
      <c r="D15" s="12">
        <v>558293</v>
      </c>
      <c r="E15" s="12">
        <v>575041</v>
      </c>
      <c r="F15" t="s">
        <v>43</v>
      </c>
    </row>
    <row r="16" spans="1:6" ht="12" customHeight="1">
      <c r="A16" s="10" t="s">
        <v>18</v>
      </c>
      <c r="B16" s="11">
        <v>476331</v>
      </c>
      <c r="C16" s="12">
        <f t="shared" si="3"/>
        <v>238165.5</v>
      </c>
      <c r="D16" s="12">
        <v>490621</v>
      </c>
      <c r="E16" s="12">
        <v>505339</v>
      </c>
      <c r="F16" t="s">
        <v>43</v>
      </c>
    </row>
    <row r="17" spans="1:6" ht="12" customHeight="1">
      <c r="A17" s="10" t="s">
        <v>19</v>
      </c>
      <c r="B17" s="13">
        <v>94894</v>
      </c>
      <c r="C17" s="12">
        <f t="shared" si="3"/>
        <v>47447</v>
      </c>
      <c r="D17" s="12">
        <v>92826</v>
      </c>
      <c r="E17" s="12">
        <v>64160</v>
      </c>
      <c r="F17" t="s">
        <v>43</v>
      </c>
    </row>
    <row r="18" spans="1:5" ht="15" customHeight="1">
      <c r="A18" s="14" t="s">
        <v>20</v>
      </c>
      <c r="B18" s="15">
        <f>SUM(B12:B17)</f>
        <v>2984053</v>
      </c>
      <c r="C18" s="15">
        <f>SUM(C12:C17)</f>
        <v>1492026.5</v>
      </c>
      <c r="D18" s="15">
        <f>SUM(D12:D17)</f>
        <v>3039401</v>
      </c>
      <c r="E18" s="15">
        <f>SUM(E12:E17)</f>
        <v>3053325</v>
      </c>
    </row>
    <row r="19" spans="1:6" ht="12" customHeight="1">
      <c r="A19" s="10" t="s">
        <v>21</v>
      </c>
      <c r="B19" s="11">
        <f>D19*0.965</f>
        <v>101325</v>
      </c>
      <c r="C19" s="12">
        <f t="shared" si="3"/>
        <v>50662.5</v>
      </c>
      <c r="D19" s="12">
        <v>105000</v>
      </c>
      <c r="E19" s="12">
        <f>D19*1.035</f>
        <v>108674.99999999999</v>
      </c>
      <c r="F19" t="s">
        <v>22</v>
      </c>
    </row>
    <row r="20" spans="1:6" ht="14.15" customHeight="1">
      <c r="A20" s="14" t="s">
        <v>23</v>
      </c>
      <c r="B20" s="15">
        <f>SUM(B19:B19)</f>
        <v>101325</v>
      </c>
      <c r="C20" s="15">
        <f>SUM(C19:C19)</f>
        <v>50662.5</v>
      </c>
      <c r="D20" s="15">
        <f>SUM(D19:D19)</f>
        <v>105000</v>
      </c>
      <c r="E20" s="15">
        <f>SUM(E19:E19)</f>
        <v>108674.99999999999</v>
      </c>
      <c r="F20" t="s">
        <v>24</v>
      </c>
    </row>
    <row r="21" spans="1:6" ht="18.9" customHeight="1">
      <c r="A21" s="16" t="s">
        <v>25</v>
      </c>
      <c r="B21" s="17">
        <v>32850</v>
      </c>
      <c r="C21" s="18">
        <f t="shared" si="3"/>
        <v>16425</v>
      </c>
      <c r="D21" s="18">
        <v>33836</v>
      </c>
      <c r="E21" s="18">
        <v>34851</v>
      </c>
      <c r="F21" t="s">
        <v>26</v>
      </c>
    </row>
    <row r="22" spans="1:5" ht="15.9" customHeight="1">
      <c r="A22" s="24" t="s">
        <v>27</v>
      </c>
      <c r="B22" s="25">
        <f>SUM(B18,B20,B21)</f>
        <v>3118228</v>
      </c>
      <c r="C22" s="25">
        <f>SUM(C18,C20,C21)</f>
        <v>1559114</v>
      </c>
      <c r="D22" s="25">
        <f>SUM(D18,D20,D21)</f>
        <v>3178237</v>
      </c>
      <c r="E22" s="25">
        <f>SUM(E18,E20,E21)</f>
        <v>3196851</v>
      </c>
    </row>
    <row r="23" spans="1:5" ht="15" customHeight="1">
      <c r="A23" s="24" t="s">
        <v>28</v>
      </c>
      <c r="B23" s="39">
        <f>B11-B22</f>
        <v>677516.1499999999</v>
      </c>
      <c r="C23" s="39">
        <f>C11-C22</f>
        <v>338758.07499999995</v>
      </c>
      <c r="D23" s="39">
        <f>D11-D22</f>
        <v>534811.46</v>
      </c>
      <c r="E23" s="39">
        <f>E11-E22</f>
        <v>-630432.4199999999</v>
      </c>
    </row>
    <row r="24" spans="1:5" ht="15.9" customHeight="1">
      <c r="A24" s="19" t="s">
        <v>29</v>
      </c>
      <c r="B24" s="20">
        <v>0</v>
      </c>
      <c r="C24" s="20">
        <v>0</v>
      </c>
      <c r="D24" s="20">
        <v>0</v>
      </c>
      <c r="E24" s="20">
        <v>0</v>
      </c>
    </row>
    <row r="25" spans="1:5" ht="15.9" customHeight="1">
      <c r="A25" s="24" t="s">
        <v>30</v>
      </c>
      <c r="B25" s="39">
        <f>B23</f>
        <v>677516.1499999999</v>
      </c>
      <c r="C25" s="39">
        <f>C23</f>
        <v>338758.07499999995</v>
      </c>
      <c r="D25" s="39">
        <f aca="true" t="shared" si="4" ref="D25">D23</f>
        <v>534811.46</v>
      </c>
      <c r="E25" s="39">
        <f>E23</f>
        <v>-630432.4199999999</v>
      </c>
    </row>
    <row r="26" spans="1:6" ht="15" customHeight="1">
      <c r="A26" s="19" t="s">
        <v>31</v>
      </c>
      <c r="B26" s="21">
        <v>-2970000</v>
      </c>
      <c r="C26" s="21">
        <f>B26/2</f>
        <v>-1485000</v>
      </c>
      <c r="D26" s="21">
        <v>-2970000</v>
      </c>
      <c r="E26" s="21">
        <v>-2970000</v>
      </c>
      <c r="F26" t="s">
        <v>32</v>
      </c>
    </row>
    <row r="27" spans="1:5" ht="15.9" customHeight="1">
      <c r="A27" s="24" t="s">
        <v>33</v>
      </c>
      <c r="B27" s="39">
        <f>B25+B26</f>
        <v>-2292483.85</v>
      </c>
      <c r="C27" s="39">
        <f>C25+C26</f>
        <v>-1146241.925</v>
      </c>
      <c r="D27" s="39">
        <f aca="true" t="shared" si="5" ref="D27">D25+D26</f>
        <v>-2435188.54</v>
      </c>
      <c r="E27" s="39">
        <f>E25+E26</f>
        <v>-3600432.42</v>
      </c>
    </row>
    <row r="28" spans="1:5" ht="15" customHeight="1">
      <c r="A28" s="3" t="s">
        <v>34</v>
      </c>
      <c r="B28" s="4">
        <v>4306933</v>
      </c>
      <c r="C28" s="4">
        <f>B28/2</f>
        <v>2153466.5</v>
      </c>
      <c r="D28" s="5">
        <v>4409340</v>
      </c>
      <c r="E28" s="5">
        <v>4662900</v>
      </c>
    </row>
    <row r="29" spans="1:5" ht="15.9" customHeight="1">
      <c r="A29" s="6" t="s">
        <v>35</v>
      </c>
      <c r="B29" s="22">
        <v>1198855</v>
      </c>
      <c r="C29" s="23">
        <f>B29/2</f>
        <v>599427.5</v>
      </c>
      <c r="D29" s="23">
        <v>1249806</v>
      </c>
      <c r="E29" s="23">
        <v>1302923</v>
      </c>
    </row>
    <row r="30" spans="1:5" ht="15.65" customHeight="1">
      <c r="A30" s="24" t="s">
        <v>36</v>
      </c>
      <c r="B30" s="25">
        <f>B28+B29+B27</f>
        <v>3213304.15</v>
      </c>
      <c r="C30" s="58">
        <f>C28+C29+C27</f>
        <v>1606652.075</v>
      </c>
      <c r="D30" s="58">
        <f aca="true" t="shared" si="6" ref="D30:E30">D28+D29+D27</f>
        <v>3223957.46</v>
      </c>
      <c r="E30" s="58">
        <f t="shared" si="6"/>
        <v>2365390.58</v>
      </c>
    </row>
    <row r="31" spans="1:5" ht="12.75">
      <c r="A31" s="59" t="s">
        <v>61</v>
      </c>
      <c r="B31" s="1"/>
      <c r="C31" s="62">
        <f>C28+C27</f>
        <v>1007224.575</v>
      </c>
      <c r="D31" s="62">
        <f>D28+D27</f>
        <v>1974151.46</v>
      </c>
      <c r="E31" s="62">
        <f aca="true" t="shared" si="7" ref="D31:E31">E28+E27</f>
        <v>1062467.58</v>
      </c>
    </row>
    <row r="32" spans="1:5" ht="12.75">
      <c r="A32" s="1"/>
      <c r="D32" s="1"/>
      <c r="E32" s="1"/>
    </row>
    <row r="33" spans="1:6" ht="14.4" customHeight="1">
      <c r="A33" s="42" t="s">
        <v>37</v>
      </c>
      <c r="B33" s="40">
        <v>7945712</v>
      </c>
      <c r="C33" s="41">
        <f>SUM(C30:E30)</f>
        <v>7196000.115</v>
      </c>
      <c r="E33" s="1"/>
      <c r="F33" t="s">
        <v>38</v>
      </c>
    </row>
    <row r="34" spans="1:6" ht="18.15" customHeight="1">
      <c r="A34" s="35" t="s">
        <v>39</v>
      </c>
      <c r="B34" s="36">
        <v>6902343</v>
      </c>
      <c r="C34" s="38"/>
      <c r="D34" s="37"/>
      <c r="E34" s="26"/>
      <c r="F34" t="s">
        <v>40</v>
      </c>
    </row>
    <row r="35" spans="2:5" ht="12.75">
      <c r="B35" s="34"/>
      <c r="C35" s="34"/>
      <c r="D35" s="34"/>
      <c r="E35" s="34"/>
    </row>
    <row r="37" spans="2:3" ht="12.75">
      <c r="B37" s="34"/>
      <c r="C37" s="34"/>
    </row>
  </sheetData>
  <mergeCells count="3">
    <mergeCell ref="A1:E1"/>
    <mergeCell ref="A2:E2"/>
    <mergeCell ref="A3:E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BFB07-6CD5-47C1-961B-9218A0CD6B3D}">
  <dimension ref="A1:I39"/>
  <sheetViews>
    <sheetView tabSelected="1" workbookViewId="0" topLeftCell="A3">
      <selection activeCell="A33" sqref="A33:H33"/>
    </sheetView>
  </sheetViews>
  <sheetFormatPr defaultColWidth="9.33203125" defaultRowHeight="12.75"/>
  <cols>
    <col min="1" max="1" width="59.33203125" style="0" customWidth="1"/>
    <col min="2" max="2" width="18.66015625" style="0" hidden="1" customWidth="1"/>
    <col min="3" max="3" width="18.66015625" style="0" customWidth="1"/>
    <col min="4" max="4" width="17.33203125" style="0" customWidth="1"/>
    <col min="5" max="8" width="18.66015625" style="0" customWidth="1"/>
    <col min="9" max="9" width="46.33203125" style="0" customWidth="1"/>
    <col min="16" max="16" width="9.33203125" style="0" bestFit="1" customWidth="1"/>
  </cols>
  <sheetData>
    <row r="1" spans="1:8" ht="24" customHeight="1">
      <c r="A1" s="51"/>
      <c r="B1" s="52"/>
      <c r="C1" s="52"/>
      <c r="D1" s="52"/>
      <c r="E1" s="52"/>
      <c r="F1" s="43"/>
      <c r="G1" s="43"/>
      <c r="H1" s="43"/>
    </row>
    <row r="2" spans="1:8" ht="23.15" customHeight="1">
      <c r="A2" s="53"/>
      <c r="B2" s="54"/>
      <c r="C2" s="54"/>
      <c r="D2" s="54"/>
      <c r="E2" s="54"/>
      <c r="F2" s="44"/>
      <c r="G2" s="44"/>
      <c r="H2" s="44"/>
    </row>
    <row r="3" spans="1:8" ht="74.4" customHeight="1">
      <c r="A3" s="55" t="s">
        <v>44</v>
      </c>
      <c r="B3" s="56"/>
      <c r="C3" s="56"/>
      <c r="D3" s="56"/>
      <c r="E3" s="56"/>
      <c r="F3" s="45"/>
      <c r="G3" s="45"/>
      <c r="H3" s="45"/>
    </row>
    <row r="4" spans="1:8" ht="12.75">
      <c r="A4" s="45"/>
      <c r="B4" s="45"/>
      <c r="C4" s="45"/>
      <c r="D4" s="45"/>
      <c r="E4" s="49">
        <v>20000</v>
      </c>
      <c r="F4" s="49">
        <v>20000</v>
      </c>
      <c r="G4" s="49">
        <v>20000</v>
      </c>
      <c r="H4" s="49">
        <v>20000</v>
      </c>
    </row>
    <row r="5" spans="1:8" ht="12.75">
      <c r="A5" s="45"/>
      <c r="B5" s="45"/>
      <c r="C5" s="45"/>
      <c r="D5" s="45"/>
      <c r="E5" s="45">
        <v>34</v>
      </c>
      <c r="F5" s="45">
        <v>35</v>
      </c>
      <c r="G5" s="45">
        <v>36</v>
      </c>
      <c r="H5" s="45">
        <v>37</v>
      </c>
    </row>
    <row r="6" spans="1:8" ht="12.75">
      <c r="A6" s="1"/>
      <c r="B6" s="47"/>
      <c r="C6" s="1"/>
      <c r="D6" s="48"/>
      <c r="E6" s="46">
        <f>E4*E5</f>
        <v>680000</v>
      </c>
      <c r="F6" s="46">
        <f aca="true" t="shared" si="0" ref="F6:H6">F4*F5</f>
        <v>700000</v>
      </c>
      <c r="G6" s="46">
        <f t="shared" si="0"/>
        <v>720000</v>
      </c>
      <c r="H6" s="46">
        <f t="shared" si="0"/>
        <v>740000</v>
      </c>
    </row>
    <row r="7" spans="1:9" ht="24" customHeight="1">
      <c r="A7" s="2"/>
      <c r="B7" s="33" t="s">
        <v>2</v>
      </c>
      <c r="C7" s="33" t="s">
        <v>3</v>
      </c>
      <c r="D7" s="33" t="s">
        <v>4</v>
      </c>
      <c r="E7" s="33" t="s">
        <v>5</v>
      </c>
      <c r="F7" s="33" t="s">
        <v>45</v>
      </c>
      <c r="G7" s="33" t="s">
        <v>46</v>
      </c>
      <c r="H7" s="33" t="s">
        <v>47</v>
      </c>
      <c r="I7" s="33" t="s">
        <v>48</v>
      </c>
    </row>
    <row r="8" spans="1:9" ht="12" customHeight="1">
      <c r="A8" s="3" t="s">
        <v>7</v>
      </c>
      <c r="B8" s="27">
        <v>3294069</v>
      </c>
      <c r="C8" s="27">
        <f>B8/2</f>
        <v>1647034.5</v>
      </c>
      <c r="D8" s="28">
        <v>3208620</v>
      </c>
      <c r="E8" s="28">
        <f>(D8*1.03)+(E6)</f>
        <v>3984878.6</v>
      </c>
      <c r="F8" s="28">
        <f>(E8*1.03)+(F6)</f>
        <v>4804424.958000001</v>
      </c>
      <c r="G8" s="28">
        <f>(F8*1.03)+(G6)</f>
        <v>5668557.70674</v>
      </c>
      <c r="H8" s="28">
        <f>(G8*1.03)+(H6)</f>
        <v>6578614.4379422</v>
      </c>
      <c r="I8" t="s">
        <v>49</v>
      </c>
    </row>
    <row r="9" spans="1:9" ht="12.75">
      <c r="A9" s="30" t="s">
        <v>8</v>
      </c>
      <c r="B9" s="31">
        <v>500016</v>
      </c>
      <c r="C9" s="31">
        <f aca="true" t="shared" si="1" ref="C9:C12">B9/2</f>
        <v>250008</v>
      </c>
      <c r="D9" s="32">
        <v>500734</v>
      </c>
      <c r="E9" s="32">
        <f>D9*1.05</f>
        <v>525770.7000000001</v>
      </c>
      <c r="F9" s="32">
        <f aca="true" t="shared" si="2" ref="F9:H9">E9*1.05</f>
        <v>552059.2350000001</v>
      </c>
      <c r="G9" s="32">
        <f t="shared" si="2"/>
        <v>579662.1967500001</v>
      </c>
      <c r="H9" s="32">
        <f t="shared" si="2"/>
        <v>608645.3065875001</v>
      </c>
      <c r="I9" t="s">
        <v>50</v>
      </c>
    </row>
    <row r="10" spans="1:9" ht="12.75">
      <c r="A10" s="10" t="s">
        <v>9</v>
      </c>
      <c r="B10" s="29">
        <v>40000</v>
      </c>
      <c r="C10" s="29">
        <f t="shared" si="1"/>
        <v>20000</v>
      </c>
      <c r="D10" s="29">
        <v>41200</v>
      </c>
      <c r="E10" s="29">
        <f>D10*1.03</f>
        <v>42436</v>
      </c>
      <c r="F10" s="29">
        <f>E10*1.03</f>
        <v>43709.08</v>
      </c>
      <c r="G10" s="29">
        <f aca="true" t="shared" si="3" ref="G10:H10">F10*1.03</f>
        <v>45020.3524</v>
      </c>
      <c r="H10" s="29">
        <f t="shared" si="3"/>
        <v>46370.962972</v>
      </c>
      <c r="I10" t="s">
        <v>51</v>
      </c>
    </row>
    <row r="11" spans="1:8" ht="12" customHeight="1">
      <c r="A11" s="7" t="s">
        <v>10</v>
      </c>
      <c r="B11" s="8">
        <f aca="true" t="shared" si="4" ref="B11:H11">SUM(B8:B10)</f>
        <v>3834085</v>
      </c>
      <c r="C11" s="8">
        <f t="shared" si="4"/>
        <v>1917042.5</v>
      </c>
      <c r="D11" s="8">
        <f t="shared" si="4"/>
        <v>3750554</v>
      </c>
      <c r="E11" s="8">
        <f t="shared" si="4"/>
        <v>4553085.3</v>
      </c>
      <c r="F11" s="8">
        <f t="shared" si="4"/>
        <v>5400193.273000001</v>
      </c>
      <c r="G11" s="8">
        <f t="shared" si="4"/>
        <v>6293240.255890001</v>
      </c>
      <c r="H11" s="8">
        <f t="shared" si="4"/>
        <v>7233630.707501701</v>
      </c>
    </row>
    <row r="12" spans="1:9" ht="12" customHeight="1">
      <c r="A12" s="6" t="s">
        <v>11</v>
      </c>
      <c r="B12" s="9">
        <f>-B11*0.01</f>
        <v>-38340.85</v>
      </c>
      <c r="C12" s="9">
        <f t="shared" si="1"/>
        <v>-19170.425</v>
      </c>
      <c r="D12" s="9">
        <f aca="true" t="shared" si="5" ref="D12">-D11*0.01</f>
        <v>-37505.54</v>
      </c>
      <c r="E12" s="9">
        <f>-E11*0.01</f>
        <v>-45530.852999999996</v>
      </c>
      <c r="F12" s="9">
        <f aca="true" t="shared" si="6" ref="F12:G12">-F11*0.01</f>
        <v>-54001.93273000001</v>
      </c>
      <c r="G12" s="9">
        <f t="shared" si="6"/>
        <v>-62932.40255890001</v>
      </c>
      <c r="H12" s="9">
        <f>-H11*0.01</f>
        <v>-72336.30707501702</v>
      </c>
      <c r="I12" t="s">
        <v>12</v>
      </c>
    </row>
    <row r="13" spans="1:8" ht="12" customHeight="1">
      <c r="A13" s="24" t="s">
        <v>13</v>
      </c>
      <c r="B13" s="25">
        <f>B11+B12</f>
        <v>3795744.15</v>
      </c>
      <c r="C13" s="25">
        <f>C11+C12</f>
        <v>1897872.075</v>
      </c>
      <c r="D13" s="25">
        <f aca="true" t="shared" si="7" ref="D13">D11+D12</f>
        <v>3713048.46</v>
      </c>
      <c r="E13" s="25">
        <f>E11+E12</f>
        <v>4507554.447</v>
      </c>
      <c r="F13" s="25">
        <f aca="true" t="shared" si="8" ref="F13:H13">F11+F12</f>
        <v>5346191.3402700005</v>
      </c>
      <c r="G13" s="25">
        <f>G11+G12</f>
        <v>6230307.8533311</v>
      </c>
      <c r="H13" s="25">
        <f t="shared" si="8"/>
        <v>7161294.400426684</v>
      </c>
    </row>
    <row r="14" spans="1:9" ht="17.15" customHeight="1">
      <c r="A14" s="3" t="s">
        <v>14</v>
      </c>
      <c r="B14" s="4">
        <v>507776</v>
      </c>
      <c r="C14" s="5">
        <f>B14/2</f>
        <v>253888</v>
      </c>
      <c r="D14" s="5">
        <v>515814</v>
      </c>
      <c r="E14" s="5">
        <f>(D14*1.015)+(E$4*1.97)</f>
        <v>562951.21</v>
      </c>
      <c r="F14" s="5">
        <f aca="true" t="shared" si="9" ref="F14:G14">(E14*1.015)+(F$4*1.97)</f>
        <v>610795.4781499999</v>
      </c>
      <c r="G14" s="5">
        <f t="shared" si="9"/>
        <v>659357.4103222498</v>
      </c>
      <c r="H14" s="5">
        <f>(G14*1.015)+(H$4*1.97)</f>
        <v>708647.7714770834</v>
      </c>
      <c r="I14" t="s">
        <v>52</v>
      </c>
    </row>
    <row r="15" spans="1:9" ht="12" customHeight="1">
      <c r="A15" s="10" t="s">
        <v>15</v>
      </c>
      <c r="B15" s="11">
        <v>848756</v>
      </c>
      <c r="C15" s="12">
        <f aca="true" t="shared" si="10" ref="C15:C23">B15/2</f>
        <v>424378</v>
      </c>
      <c r="D15" s="12">
        <v>872246</v>
      </c>
      <c r="E15" s="12">
        <f>(D15*1.015)+(E$4*2.7)</f>
        <v>939329.69</v>
      </c>
      <c r="F15" s="12">
        <f aca="true" t="shared" si="11" ref="F15:G15">(E15*1.015)+(F$4*2.7)</f>
        <v>1007419.6353499999</v>
      </c>
      <c r="G15" s="12">
        <f t="shared" si="11"/>
        <v>1076530.9298802498</v>
      </c>
      <c r="H15" s="12">
        <f>(G15*1.015)+(H$4*2.7)</f>
        <v>1146678.8938284535</v>
      </c>
      <c r="I15" t="s">
        <v>53</v>
      </c>
    </row>
    <row r="16" spans="1:9" ht="12" customHeight="1">
      <c r="A16" s="10" t="s">
        <v>16</v>
      </c>
      <c r="B16" s="11">
        <v>514264</v>
      </c>
      <c r="C16" s="12">
        <f t="shared" si="10"/>
        <v>257132</v>
      </c>
      <c r="D16" s="12">
        <v>509601</v>
      </c>
      <c r="E16" s="12">
        <f>(D16*1.015)+(E$4*1.65)</f>
        <v>550245.0149999999</v>
      </c>
      <c r="F16" s="12">
        <f aca="true" t="shared" si="12" ref="F16:G16">(E16*1.015)+(F$4*1.65)</f>
        <v>591498.6902249998</v>
      </c>
      <c r="G16" s="12">
        <f t="shared" si="12"/>
        <v>633371.1705783748</v>
      </c>
      <c r="H16" s="12">
        <f>(G16*1.015)+(H$4*1.65)</f>
        <v>675871.7381370503</v>
      </c>
      <c r="I16" t="s">
        <v>54</v>
      </c>
    </row>
    <row r="17" spans="1:9" ht="12" customHeight="1">
      <c r="A17" s="10" t="s">
        <v>17</v>
      </c>
      <c r="B17" s="11">
        <v>542032</v>
      </c>
      <c r="C17" s="12">
        <f t="shared" si="10"/>
        <v>271016</v>
      </c>
      <c r="D17" s="12">
        <v>558293</v>
      </c>
      <c r="E17" s="12">
        <f>(D17*1.015)+(E$4*2.75)</f>
        <v>621667.3949999999</v>
      </c>
      <c r="F17" s="12">
        <f aca="true" t="shared" si="13" ref="F17:H17">(E17*1.015)+(F$4*2.75)</f>
        <v>685992.4059249999</v>
      </c>
      <c r="G17" s="12">
        <f>(F17*1.015)+(G$4*2.75)</f>
        <v>751282.2920138747</v>
      </c>
      <c r="H17" s="12">
        <f t="shared" si="13"/>
        <v>817551.5263940828</v>
      </c>
      <c r="I17" t="s">
        <v>55</v>
      </c>
    </row>
    <row r="18" spans="1:9" ht="12" customHeight="1">
      <c r="A18" s="10" t="s">
        <v>18</v>
      </c>
      <c r="B18" s="11">
        <v>476331</v>
      </c>
      <c r="C18" s="12">
        <f t="shared" si="10"/>
        <v>238165.5</v>
      </c>
      <c r="D18" s="12">
        <v>490621</v>
      </c>
      <c r="E18" s="12">
        <f>(D18*1.015)+(E$4*1.45)</f>
        <v>526980.315</v>
      </c>
      <c r="F18" s="12">
        <f aca="true" t="shared" si="14" ref="F18:G18">(E18*1.015)+(F$4*1.45)</f>
        <v>563885.0197249999</v>
      </c>
      <c r="G18" s="12">
        <f t="shared" si="14"/>
        <v>601343.2950208748</v>
      </c>
      <c r="H18" s="12">
        <f>(G18*1.015)+(H$4*1.45)</f>
        <v>639363.4444461879</v>
      </c>
      <c r="I18" t="s">
        <v>56</v>
      </c>
    </row>
    <row r="19" spans="1:9" ht="12" customHeight="1">
      <c r="A19" s="10" t="s">
        <v>19</v>
      </c>
      <c r="B19" s="13">
        <v>94894</v>
      </c>
      <c r="C19" s="12">
        <f t="shared" si="10"/>
        <v>47447</v>
      </c>
      <c r="D19" s="12">
        <v>92826</v>
      </c>
      <c r="E19" s="12">
        <f>E13*0.025</f>
        <v>112688.861175</v>
      </c>
      <c r="F19" s="12">
        <f aca="true" t="shared" si="15" ref="F19:G19">F13*0.025</f>
        <v>133654.78350675</v>
      </c>
      <c r="G19" s="12">
        <f t="shared" si="15"/>
        <v>155757.6963332775</v>
      </c>
      <c r="H19" s="12">
        <f>H13*0.025</f>
        <v>179032.36001066712</v>
      </c>
      <c r="I19" t="s">
        <v>57</v>
      </c>
    </row>
    <row r="20" spans="1:8" ht="15" customHeight="1">
      <c r="A20" s="14" t="s">
        <v>20</v>
      </c>
      <c r="B20" s="15">
        <f aca="true" t="shared" si="16" ref="B20:H20">SUM(B14:B19)</f>
        <v>2984053</v>
      </c>
      <c r="C20" s="15">
        <f t="shared" si="16"/>
        <v>1492026.5</v>
      </c>
      <c r="D20" s="15">
        <f t="shared" si="16"/>
        <v>3039401</v>
      </c>
      <c r="E20" s="15">
        <f t="shared" si="16"/>
        <v>3313862.4861749997</v>
      </c>
      <c r="F20" s="15">
        <f t="shared" si="16"/>
        <v>3593246.01288175</v>
      </c>
      <c r="G20" s="15">
        <f t="shared" si="16"/>
        <v>3877642.794148902</v>
      </c>
      <c r="H20" s="15">
        <f t="shared" si="16"/>
        <v>4167145.734293525</v>
      </c>
    </row>
    <row r="21" spans="1:9" ht="12" customHeight="1">
      <c r="A21" s="10" t="s">
        <v>21</v>
      </c>
      <c r="B21" s="11">
        <f>D21*0.965</f>
        <v>101325</v>
      </c>
      <c r="C21" s="12">
        <f t="shared" si="10"/>
        <v>50662.5</v>
      </c>
      <c r="D21" s="12">
        <v>105000</v>
      </c>
      <c r="E21" s="12">
        <f>D21*1.035</f>
        <v>108674.99999999999</v>
      </c>
      <c r="F21" s="12">
        <f>E21*1.035</f>
        <v>112478.62499999997</v>
      </c>
      <c r="G21" s="12">
        <f>F21*1.035</f>
        <v>116415.37687499996</v>
      </c>
      <c r="H21" s="12">
        <f>G21*1.035</f>
        <v>120489.91506562494</v>
      </c>
      <c r="I21" t="s">
        <v>22</v>
      </c>
    </row>
    <row r="22" spans="1:9" ht="14.15" customHeight="1">
      <c r="A22" s="14" t="s">
        <v>23</v>
      </c>
      <c r="B22" s="15">
        <f aca="true" t="shared" si="17" ref="B22:H22">SUM(B21:B21)</f>
        <v>101325</v>
      </c>
      <c r="C22" s="15">
        <f t="shared" si="17"/>
        <v>50662.5</v>
      </c>
      <c r="D22" s="15">
        <f t="shared" si="17"/>
        <v>105000</v>
      </c>
      <c r="E22" s="15">
        <f t="shared" si="17"/>
        <v>108674.99999999999</v>
      </c>
      <c r="F22" s="15">
        <f t="shared" si="17"/>
        <v>112478.62499999997</v>
      </c>
      <c r="G22" s="15">
        <f t="shared" si="17"/>
        <v>116415.37687499996</v>
      </c>
      <c r="H22" s="15">
        <f t="shared" si="17"/>
        <v>120489.91506562494</v>
      </c>
      <c r="I22" t="s">
        <v>24</v>
      </c>
    </row>
    <row r="23" spans="1:9" ht="18.9" customHeight="1">
      <c r="A23" s="16" t="s">
        <v>25</v>
      </c>
      <c r="B23" s="17">
        <v>32850</v>
      </c>
      <c r="C23" s="18">
        <f t="shared" si="10"/>
        <v>16425</v>
      </c>
      <c r="D23" s="18">
        <v>33836</v>
      </c>
      <c r="E23" s="18">
        <f>D23+(E$4*0.1)</f>
        <v>35836</v>
      </c>
      <c r="F23" s="18">
        <f aca="true" t="shared" si="18" ref="F23">E23+(F$4*0.1)</f>
        <v>37836</v>
      </c>
      <c r="G23" s="18">
        <f>F23+(G$4*0.1)</f>
        <v>39836</v>
      </c>
      <c r="H23" s="18">
        <f>G23+(H$4*0.1)</f>
        <v>41836</v>
      </c>
      <c r="I23" t="s">
        <v>58</v>
      </c>
    </row>
    <row r="24" spans="1:8" ht="15.9" customHeight="1">
      <c r="A24" s="24" t="s">
        <v>27</v>
      </c>
      <c r="B24" s="25">
        <f aca="true" t="shared" si="19" ref="B24:H24">SUM(B20,B22,B23)</f>
        <v>3118228</v>
      </c>
      <c r="C24" s="25">
        <f t="shared" si="19"/>
        <v>1559114</v>
      </c>
      <c r="D24" s="25">
        <f t="shared" si="19"/>
        <v>3178237</v>
      </c>
      <c r="E24" s="25">
        <f t="shared" si="19"/>
        <v>3458373.4861749997</v>
      </c>
      <c r="F24" s="25">
        <f t="shared" si="19"/>
        <v>3743560.63788175</v>
      </c>
      <c r="G24" s="25">
        <f t="shared" si="19"/>
        <v>4033894.171023902</v>
      </c>
      <c r="H24" s="25">
        <f t="shared" si="19"/>
        <v>4329471.64935915</v>
      </c>
    </row>
    <row r="25" spans="1:8" ht="15" customHeight="1">
      <c r="A25" s="24" t="s">
        <v>28</v>
      </c>
      <c r="B25" s="39">
        <f aca="true" t="shared" si="20" ref="B25:H25">B13-B24</f>
        <v>677516.1499999999</v>
      </c>
      <c r="C25" s="39">
        <f t="shared" si="20"/>
        <v>338758.07499999995</v>
      </c>
      <c r="D25" s="39">
        <f t="shared" si="20"/>
        <v>534811.46</v>
      </c>
      <c r="E25" s="39">
        <f t="shared" si="20"/>
        <v>1049180.960825</v>
      </c>
      <c r="F25" s="39">
        <f t="shared" si="20"/>
        <v>1602630.7023882507</v>
      </c>
      <c r="G25" s="39">
        <f t="shared" si="20"/>
        <v>2196413.682307198</v>
      </c>
      <c r="H25" s="39">
        <f t="shared" si="20"/>
        <v>2831822.751067534</v>
      </c>
    </row>
    <row r="26" spans="1:9" ht="15.9" customHeight="1">
      <c r="A26" s="19" t="s">
        <v>29</v>
      </c>
      <c r="B26" s="20">
        <v>0</v>
      </c>
      <c r="C26" s="20">
        <v>0</v>
      </c>
      <c r="D26" s="20">
        <v>0</v>
      </c>
      <c r="E26" s="50">
        <f>E4*(65+14)</f>
        <v>1580000</v>
      </c>
      <c r="F26" s="50">
        <f aca="true" t="shared" si="21" ref="F26:H26">F4*(65+14)</f>
        <v>1580000</v>
      </c>
      <c r="G26" s="50">
        <f t="shared" si="21"/>
        <v>1580000</v>
      </c>
      <c r="H26" s="50">
        <f t="shared" si="21"/>
        <v>1580000</v>
      </c>
      <c r="I26" t="s">
        <v>59</v>
      </c>
    </row>
    <row r="27" spans="1:8" ht="15.9" customHeight="1">
      <c r="A27" s="24" t="s">
        <v>30</v>
      </c>
      <c r="B27" s="39">
        <f>B25</f>
        <v>677516.1499999999</v>
      </c>
      <c r="C27" s="39">
        <f>C25</f>
        <v>338758.07499999995</v>
      </c>
      <c r="D27" s="39">
        <f aca="true" t="shared" si="22" ref="D27">D25</f>
        <v>534811.46</v>
      </c>
      <c r="E27" s="39">
        <f>E25</f>
        <v>1049180.960825</v>
      </c>
      <c r="F27" s="39">
        <f>F25</f>
        <v>1602630.7023882507</v>
      </c>
      <c r="G27" s="39">
        <f>G25</f>
        <v>2196413.682307198</v>
      </c>
      <c r="H27" s="39">
        <f>H25</f>
        <v>2831822.751067534</v>
      </c>
    </row>
    <row r="28" spans="1:9" ht="15" customHeight="1">
      <c r="A28" s="19" t="s">
        <v>31</v>
      </c>
      <c r="B28" s="21">
        <v>-2970000</v>
      </c>
      <c r="C28" s="21">
        <f>B28/2</f>
        <v>-1485000</v>
      </c>
      <c r="D28" s="21">
        <v>-2970000</v>
      </c>
      <c r="E28" s="21">
        <v>-2970000</v>
      </c>
      <c r="F28" s="21">
        <v>-2970000</v>
      </c>
      <c r="G28" s="21">
        <v>-2970000</v>
      </c>
      <c r="H28" s="21">
        <v>-2970000</v>
      </c>
      <c r="I28" t="s">
        <v>32</v>
      </c>
    </row>
    <row r="29" spans="1:8" ht="15.9" customHeight="1">
      <c r="A29" s="24" t="s">
        <v>33</v>
      </c>
      <c r="B29" s="39">
        <f>B27+B28</f>
        <v>-2292483.85</v>
      </c>
      <c r="C29" s="39">
        <f>C27+C28</f>
        <v>-1146241.925</v>
      </c>
      <c r="D29" s="39">
        <f aca="true" t="shared" si="23" ref="D29">D27+D28</f>
        <v>-2435188.54</v>
      </c>
      <c r="E29" s="39">
        <f>E27+E28</f>
        <v>-1920819.039175</v>
      </c>
      <c r="F29" s="39">
        <f>F27+F28</f>
        <v>-1367369.2976117493</v>
      </c>
      <c r="G29" s="39">
        <f>G27+G28</f>
        <v>-773586.3176928018</v>
      </c>
      <c r="H29" s="39">
        <f>H27+H28</f>
        <v>-138177.2489324659</v>
      </c>
    </row>
    <row r="30" spans="1:9" ht="15" customHeight="1">
      <c r="A30" s="3" t="s">
        <v>34</v>
      </c>
      <c r="B30" s="4">
        <v>4306933</v>
      </c>
      <c r="C30" s="4">
        <f>B30/2</f>
        <v>2153466.5</v>
      </c>
      <c r="D30" s="5">
        <v>4409340</v>
      </c>
      <c r="E30" s="5">
        <f>D30*1.025</f>
        <v>4519573.5</v>
      </c>
      <c r="F30" s="5">
        <f aca="true" t="shared" si="24" ref="F30:H30">E30*1.025</f>
        <v>4632562.837499999</v>
      </c>
      <c r="G30" s="5">
        <f t="shared" si="24"/>
        <v>4748376.908437499</v>
      </c>
      <c r="H30" s="5">
        <f t="shared" si="24"/>
        <v>4867086.331148436</v>
      </c>
      <c r="I30" t="s">
        <v>60</v>
      </c>
    </row>
    <row r="31" spans="1:8" ht="15.9" customHeight="1">
      <c r="A31" s="6" t="s">
        <v>35</v>
      </c>
      <c r="B31" s="22">
        <v>1198855</v>
      </c>
      <c r="C31" s="23">
        <f>B31/2</f>
        <v>599427.5</v>
      </c>
      <c r="D31" s="23">
        <v>1249806</v>
      </c>
      <c r="E31" s="23">
        <v>1302923</v>
      </c>
      <c r="F31" s="23">
        <v>1302923</v>
      </c>
      <c r="G31" s="23">
        <v>1358297</v>
      </c>
      <c r="H31" s="23">
        <v>1416025</v>
      </c>
    </row>
    <row r="32" spans="1:8" ht="15.65" customHeight="1">
      <c r="A32" s="57" t="s">
        <v>36</v>
      </c>
      <c r="B32" s="58">
        <f>B30+B31+B29</f>
        <v>3213304.15</v>
      </c>
      <c r="C32" s="58">
        <f>C30+C31+C29</f>
        <v>1606652.075</v>
      </c>
      <c r="D32" s="58">
        <f aca="true" t="shared" si="25" ref="D32:E32">D30+D31+D29</f>
        <v>3223957.46</v>
      </c>
      <c r="E32" s="58">
        <f t="shared" si="25"/>
        <v>3901677.460825</v>
      </c>
      <c r="F32" s="58">
        <f aca="true" t="shared" si="26" ref="F32:H32">F30+F31+F29</f>
        <v>4568116.53988825</v>
      </c>
      <c r="G32" s="58">
        <f>G30+G31+G29</f>
        <v>5333087.590744697</v>
      </c>
      <c r="H32" s="58">
        <f t="shared" si="26"/>
        <v>6144934.08221597</v>
      </c>
    </row>
    <row r="33" spans="1:8" ht="12.75">
      <c r="A33" s="59" t="s">
        <v>61</v>
      </c>
      <c r="B33" s="60"/>
      <c r="C33" s="61">
        <f>C30+C29</f>
        <v>1007224.575</v>
      </c>
      <c r="D33" s="61">
        <f>D30+D29</f>
        <v>1974151.46</v>
      </c>
      <c r="E33" s="61">
        <f>E30+E29</f>
        <v>2598754.460825</v>
      </c>
      <c r="F33" s="61">
        <f aca="true" t="shared" si="27" ref="D33:H33">F30+F29</f>
        <v>3265193.53988825</v>
      </c>
      <c r="G33" s="61">
        <f t="shared" si="27"/>
        <v>3974790.590744697</v>
      </c>
      <c r="H33" s="61">
        <f t="shared" si="27"/>
        <v>4728909.08221597</v>
      </c>
    </row>
    <row r="34" spans="1:8" ht="12.75">
      <c r="A34" s="1"/>
      <c r="D34" s="1"/>
      <c r="E34" s="1"/>
      <c r="F34" s="1"/>
      <c r="G34" s="1"/>
      <c r="H34" s="1"/>
    </row>
    <row r="35" spans="1:9" ht="14.4" customHeight="1">
      <c r="A35" s="42" t="s">
        <v>37</v>
      </c>
      <c r="B35" s="40">
        <v>7945712</v>
      </c>
      <c r="C35" s="41">
        <f>SUM(C32:E32)</f>
        <v>8732286.995825</v>
      </c>
      <c r="E35" s="1"/>
      <c r="F35" s="1"/>
      <c r="G35" s="1"/>
      <c r="H35" s="1"/>
      <c r="I35" t="s">
        <v>38</v>
      </c>
    </row>
    <row r="36" spans="1:9" ht="18.15" customHeight="1">
      <c r="A36" s="35" t="s">
        <v>39</v>
      </c>
      <c r="B36" s="36">
        <v>6902343</v>
      </c>
      <c r="C36" s="38"/>
      <c r="D36" s="37"/>
      <c r="E36" s="26"/>
      <c r="F36" s="26"/>
      <c r="G36" s="26"/>
      <c r="H36" s="26"/>
      <c r="I36" t="s">
        <v>40</v>
      </c>
    </row>
    <row r="37" spans="2:8" ht="12.75">
      <c r="B37" s="34"/>
      <c r="C37" s="34"/>
      <c r="D37" s="34"/>
      <c r="E37" s="34"/>
      <c r="F37" s="34"/>
      <c r="G37" s="34"/>
      <c r="H37" s="34"/>
    </row>
    <row r="39" spans="2:3" ht="12.75">
      <c r="B39" s="34"/>
      <c r="C39" s="34"/>
    </row>
  </sheetData>
  <mergeCells count="3">
    <mergeCell ref="A1:E1"/>
    <mergeCell ref="A2:E2"/>
    <mergeCell ref="A3:E3"/>
  </mergeCells>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F3145C9B4BC643A0A9D21F052A005B" ma:contentTypeVersion="27" ma:contentTypeDescription="Create a new document." ma:contentTypeScope="" ma:versionID="30115a6798ff4e5f8228d2db65ea4cb3">
  <xsd:schema xmlns:xsd="http://www.w3.org/2001/XMLSchema" xmlns:xs="http://www.w3.org/2001/XMLSchema" xmlns:p="http://schemas.microsoft.com/office/2006/metadata/properties" xmlns:ns2="cfc4bdfe-72e7-4bcf-8777-527aa6965755" xmlns:ns3="b516f40b-13c9-483a-b8d0-25e20c0c5f62" xmlns:ns4="1ff4bbbe-e948-4d8f-bbf3-024ce416f147" targetNamespace="http://schemas.microsoft.com/office/2006/metadata/properties" ma:root="true" ma:fieldsID="7c019471b406131b747a702b3a474e9c" ns2:_="" ns3:_="" ns4:_="">
    <xsd:import namespace="cfc4bdfe-72e7-4bcf-8777-527aa6965755"/>
    <xsd:import namespace="b516f40b-13c9-483a-b8d0-25e20c0c5f62"/>
    <xsd:import namespace="1ff4bbbe-e948-4d8f-bbf3-024ce416f147"/>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ingHintHash"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AutoKeyPoints" minOccurs="0"/>
                <xsd:element ref="ns4:MediaServiceKeyPoints"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c4bdfe-72e7-4bcf-8777-527aa696575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16f40b-13c9-483a-b8d0-25e20c0c5f6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f4bbbe-e948-4d8f-bbf3-024ce416f147"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1C18396-3E39-4971-8944-BB180A8E1A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c4bdfe-72e7-4bcf-8777-527aa6965755"/>
    <ds:schemaRef ds:uri="b516f40b-13c9-483a-b8d0-25e20c0c5f62"/>
    <ds:schemaRef ds:uri="1ff4bbbe-e948-4d8f-bbf3-024ce416f1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495E34-EE8D-43C2-9D99-6BF3DEEA3764}">
  <ds:schemaRefs>
    <ds:schemaRef ds:uri="http://purl.org/dc/dcmitype/"/>
    <ds:schemaRef ds:uri="http://schemas.microsoft.com/office/infopath/2007/PartnerControls"/>
    <ds:schemaRef ds:uri="http://schemas.microsoft.com/office/2006/metadata/properties"/>
    <ds:schemaRef ds:uri="http://schemas.openxmlformats.org/package/2006/metadata/core-properties"/>
    <ds:schemaRef ds:uri="http://purl.org/dc/terms/"/>
    <ds:schemaRef ds:uri="b516f40b-13c9-483a-b8d0-25e20c0c5f62"/>
    <ds:schemaRef ds:uri="http://schemas.microsoft.com/office/2006/documentManagement/types"/>
    <ds:schemaRef ds:uri="http://purl.org/dc/elements/1.1/"/>
    <ds:schemaRef ds:uri="1ff4bbbe-e948-4d8f-bbf3-024ce416f147"/>
    <ds:schemaRef ds:uri="cfc4bdfe-72e7-4bcf-8777-527aa6965755"/>
    <ds:schemaRef ds:uri="http://www.w3.org/XML/1998/namespace"/>
  </ds:schemaRefs>
</ds:datastoreItem>
</file>

<file path=customXml/itemProps3.xml><?xml version="1.0" encoding="utf-8"?>
<ds:datastoreItem xmlns:ds="http://schemas.openxmlformats.org/officeDocument/2006/customXml" ds:itemID="{84554AB0-6AB0-47AB-902E-FBF173FC4A6F}">
  <ds:schemaRefs>
    <ds:schemaRef ds:uri="http://schemas.microsoft.com/sharepoint/v3/contenttype/forms"/>
  </ds:schemaRefs>
</ds:datastoreItem>
</file>

<file path=customXml/itemProps4.xml><?xml version="1.0" encoding="utf-8"?>
<ds:datastoreItem xmlns:ds="http://schemas.openxmlformats.org/officeDocument/2006/customXml" ds:itemID="{D6AE435D-4A04-4772-9FA4-C4EA7132833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Dexter Consulting Cash Flows.doc</dc:title>
  <dc:subject/>
  <dc:creator>Bates</dc:creator>
  <cp:keywords/>
  <dc:description/>
  <cp:lastModifiedBy>Bailey, Melissa</cp:lastModifiedBy>
  <dcterms:created xsi:type="dcterms:W3CDTF">2024-05-23T19:01:52Z</dcterms:created>
  <dcterms:modified xsi:type="dcterms:W3CDTF">2024-05-24T17:39:32Z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2024-05-20T00:00:00Z</vt:filetime>
  </property>
  <property fmtid="{D5CDD505-2E9C-101B-9397-08002B2CF9AE}" pid="3" name="Creator">
    <vt:lpwstr>PScript5.dll Version 5.2.2</vt:lpwstr>
  </property>
  <property fmtid="{D5CDD505-2E9C-101B-9397-08002B2CF9AE}" pid="4" name="LastSaved">
    <vt:filetime>2024-05-23T00:00:00Z</vt:filetime>
  </property>
  <property fmtid="{D5CDD505-2E9C-101B-9397-08002B2CF9AE}" pid="5" name="Producer">
    <vt:lpwstr>Acrobat Distiller 20.0 (Windows)</vt:lpwstr>
  </property>
  <property fmtid="{D5CDD505-2E9C-101B-9397-08002B2CF9AE}" pid="6" name="ContentTypeId">
    <vt:lpwstr>0x01010055F3145C9B4BC643A0A9D21F052A005B</vt:lpwstr>
  </property>
</Properties>
</file>