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330" windowHeight="7035" activeTab="0"/>
  </bookViews>
  <sheets>
    <sheet name="1451 Fin Plan" sheetId="3" r:id="rId1"/>
    <sheet name="1451 Fin Plan (model)" sheetId="1" state="hidden"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w1" localSheetId="0" hidden="1">{"cxtransfer",#N/A,FALSE,"ReorgRevisted"}</definedName>
    <definedName name="___w1" hidden="1">{"cxtransfer",#N/A,FALSE,"ReorgRevisted"}</definedName>
    <definedName name="___w2" localSheetId="0" hidden="1">{"cxtransfer",#N/A,FALSE,"ReorgRevisted"}</definedName>
    <definedName name="___w2" hidden="1">{"cxtransfer",#N/A,FALSE,"ReorgRevisted"}</definedName>
    <definedName name="__w1" localSheetId="0" hidden="1">{"cxtransfer",#N/A,FALSE,"ReorgRevisted"}</definedName>
    <definedName name="__w1" hidden="1">{"cxtransfer",#N/A,FALSE,"ReorgRevisted"}</definedName>
    <definedName name="__w2" localSheetId="0"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localSheetId="0" hidden="1">{"cxtransfer",#N/A,FALSE,"ReorgRevisted"}</definedName>
    <definedName name="_w1" hidden="1">{"cxtransfer",#N/A,FALSE,"ReorgRevisted"}</definedName>
    <definedName name="_w2" localSheetId="0" hidden="1">{"cxtransfer",#N/A,FALSE,"ReorgRevisted"}</definedName>
    <definedName name="_w2" hidden="1">{"cxtransfer",#N/A,FALSE,"ReorgRevisted"}</definedName>
    <definedName name="a" localSheetId="0" hidden="1">{"Dis",#N/A,FALSE,"ReorgRevisted"}</definedName>
    <definedName name="a" hidden="1">{"Dis",#N/A,FALSE,"ReorgRevisted"}</definedName>
    <definedName name="aa" localSheetId="0" hidden="1">{"NonWhole",#N/A,FALSE,"ReorgRevisted"}</definedName>
    <definedName name="aa" hidden="1">{"NonWhole",#N/A,FALSE,"ReorgRevisted"}</definedName>
    <definedName name="aaaaaaaa" localSheetId="0" hidden="1">{"Dis",#N/A,FALSE,"ReorgRevisted"}</definedName>
    <definedName name="aaaaaaaa" hidden="1">{"Dis",#N/A,FALSE,"ReorgRevisted"}</definedName>
    <definedName name="ab" localSheetId="0" hidden="1">{"cxtransfer",#N/A,FALSE,"ReorgRevisted"}</definedName>
    <definedName name="ab" hidden="1">{"cxtransfer",#N/A,FALSE,"ReorgRevisted"}</definedName>
    <definedName name="abcd" localSheetId="0" hidden="1">{"cxtransfer",#N/A,FALSE,"ReorgRevisted"}</definedName>
    <definedName name="abcd" hidden="1">{"cxtransfer",#N/A,FALSE,"ReorgRevisted"}</definedName>
    <definedName name="abcde" localSheetId="0"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#REF!</definedName>
    <definedName name="agingtot">#REF!</definedName>
    <definedName name="all_other_reduction" localSheetId="0">#REF!</definedName>
    <definedName name="all_other_reduction">#REF!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localSheetId="0" hidden="1">{"NonWhole",#N/A,FALSE,"ReorgRevisted"}</definedName>
    <definedName name="asfda" hidden="1">{"NonWhole",#N/A,FALSE,"ReorgRevisted"}</definedName>
    <definedName name="August" localSheetId="0">#REF!,#REF!,#REF!,#REF!,#REF!,#REF!</definedName>
    <definedName name="August">#REF!,#REF!,#REF!,#REF!,#REF!,#REF!</definedName>
    <definedName name="av" localSheetId="0" hidden="1">{"NonWhole",#N/A,FALSE,"ReorgRevisted"}</definedName>
    <definedName name="av" hidden="1">{"NonWhole",#N/A,FALSE,"ReorgRevisted"}</definedName>
    <definedName name="b" localSheetId="0" hidden="1">{"Dis",#N/A,FALSE,"ReorgRevisted"}</definedName>
    <definedName name="b" hidden="1">{"Dis",#N/A,FALSE,"ReorgRevisted"}</definedName>
    <definedName name="BizRev">'[6]Assumptions'!$H$5</definedName>
    <definedName name="bt" localSheetId="0" hidden="1">{"Dis",#N/A,FALSE,"ReorgRevisted"}</definedName>
    <definedName name="bt" hidden="1">{"Dis",#N/A,FALSE,"ReorgRevisted"}</definedName>
    <definedName name="BTT" localSheetId="0" hidden="1">{"NonWhole",#N/A,FALSE,"ReorgRevisted"}</definedName>
    <definedName name="BTT" hidden="1">{"NonWhole",#N/A,FALSE,"ReorgRevisted"}</definedName>
    <definedName name="Budget_Codes">'[7]Replacement Analysis'!$B$8:$B$15</definedName>
    <definedName name="Carryover" localSheetId="0">#REF!</definedName>
    <definedName name="Carryover">#REF!</definedName>
    <definedName name="Cell" localSheetId="0">#REF!</definedName>
    <definedName name="Cell">#REF!</definedName>
    <definedName name="child" localSheetId="0" hidden="1">{"NonWhole",#N/A,FALSE,"ReorgRevisted"}</definedName>
    <definedName name="child" hidden="1">{"NonWhole",#N/A,FALSE,"ReorgRevisted"}</definedName>
    <definedName name="cj" localSheetId="0" hidden="1">{"Dis",#N/A,FALSE,"ReorgRevisted"}</definedName>
    <definedName name="cj" hidden="1">{"Dis",#N/A,FALSE,"ReorgRevisted"}</definedName>
    <definedName name="cjp" localSheetId="0" hidden="1">{"cxtransfer",#N/A,FALSE,"ReorgRevisted"}</definedName>
    <definedName name="cjp" hidden="1">{"cxtransfer",#N/A,FALSE,"ReorgRevisted"}</definedName>
    <definedName name="cjpf" localSheetId="0" hidden="1">{"Whole",#N/A,FALSE,"ReorgRevisted"}</definedName>
    <definedName name="cjpf" hidden="1">{"Whole",#N/A,FALSE,"ReorgRevisted"}</definedName>
    <definedName name="cjpf1" localSheetId="0"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'[8]DATA Tables'!$A$39:$A$48</definedName>
    <definedName name="criminal" localSheetId="0" hidden="1">{"NonWhole",#N/A,FALSE,"ReorgRevisted"}</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'[9]2011 DCHS (0935) Alloc 4-13ver1'!$R$38</definedName>
    <definedName name="CSOSAL">'[9]2011 DCHS (0935) Alloc 4-13ver1'!$R$16</definedName>
    <definedName name="CSOTOT">'[9]2011 DCHS (0935) Alloc 4-13ver1'!$R$60</definedName>
    <definedName name="CXAgncy09">'[10]09 REQ Sum Corrected 6-24-08'!$D$7:$D$9,'[10]09 REQ Sum Corrected 6-24-08'!$D$13,'[10]09 REQ Sum Corrected 6-24-08'!$D$17:$D$20</definedName>
    <definedName name="cxs" localSheetId="0" hidden="1">{"Whole",#N/A,FALSE,"ReorgRevisted"}</definedName>
    <definedName name="cxs" hidden="1">{"Whole",#N/A,FALSE,"ReorgRevisted"}</definedName>
    <definedName name="d" localSheetId="0" hidden="1">{"NonWhole",#N/A,FALSE,"ReorgRevisted"}</definedName>
    <definedName name="d" hidden="1">{"NonWhole",#N/A,FALSE,"ReorgRevisted"}</definedName>
    <definedName name="DCHS08ARMS" localSheetId="0">#REF!</definedName>
    <definedName name="DCHS08ARMS">#REF!</definedName>
    <definedName name="ddd.ext" localSheetId="0" hidden="1">{"NonWhole",#N/A,FALSE,"ReorgRevisted"}</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'[8]DATA Tables'!$A$11:$A$26</definedName>
    <definedName name="Division_Code">'[8]DATA Tables'!$A$3:$A$7</definedName>
    <definedName name="DO_ERP" localSheetId="0">#REF!</definedName>
    <definedName name="DO_ERP">#REF!</definedName>
    <definedName name="DO_Total" localSheetId="0">#REF!</definedName>
    <definedName name="DO_Total">#REF!</definedName>
    <definedName name="donya" localSheetId="0" hidden="1">{"Whole",#N/A,FALSE,"ReorgRevisted"}</definedName>
    <definedName name="donya" hidden="1">{"Whole",#N/A,FALSE,"ReorgRevisted"}</definedName>
    <definedName name="drop_down">'[11]Replacement Analysis'!$B$8:$B$27</definedName>
    <definedName name="efg" localSheetId="0" hidden="1">{"cxtransfer",#N/A,FALSE,"ReorgRevisted"}</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'[9]2011 DCHS (0935) Alloc 4-13ver1'!$N$2</definedName>
    <definedName name="FB_1376">'[9]2011 DCHS (0935) Alloc 4-13ver1'!$Q$2</definedName>
    <definedName name="FB_6831">'[9]2011 DCHS (0935) Alloc 4-13ver1'!$J$2</definedName>
    <definedName name="FB_6832">'[9]2011 DCHS (0935) Alloc 4-13ver1'!$L$2</definedName>
    <definedName name="FB_6833">'[9]2011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localSheetId="0" hidden="1">{"Whole",#N/A,FALSE,"ReorgRevisted"}</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localSheetId="0" hidden="1">{"Dis",#N/A,FALSE,"ReorgRevisted"}</definedName>
    <definedName name="form" hidden="1">{"Dis",#N/A,FALSE,"ReorgRevisted"}</definedName>
    <definedName name="Form3BB" localSheetId="0" hidden="1">{"cxtransfer",#N/A,FALSE,"ReorgRevisted"}</definedName>
    <definedName name="Form3BB" hidden="1">{"cxtransfer",#N/A,FALSE,"ReorgRevisted"}</definedName>
    <definedName name="form4a" localSheetId="0" hidden="1">{"Dis",#N/A,FALSE,"ReorgRevisted"}</definedName>
    <definedName name="form4a" hidden="1">{"Dis",#N/A,FALSE,"ReorgRevisted"}</definedName>
    <definedName name="Form5" localSheetId="0" hidden="1">{"cxtransfer",#N/A,FALSE,"ReorgRevisted"}</definedName>
    <definedName name="Form5" hidden="1">{"cxtransfer",#N/A,FALSE,"ReorgRevisted"}</definedName>
    <definedName name="FourthQOO" localSheetId="0">#REF!</definedName>
    <definedName name="FourthQOO">#REF!</definedName>
    <definedName name="fr" localSheetId="0" hidden="1">{"NonWhole",#N/A,FALSE,"ReorgRevisted"}</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localSheetId="0" hidden="1">{"Dis",#N/A,FALSE,"ReorgRevisted"}</definedName>
    <definedName name="FS" hidden="1">{"Dis",#N/A,FALSE,"ReorgRevisted"}</definedName>
    <definedName name="Fund_Dept">'[2]TOC Forms'!$C$56</definedName>
    <definedName name="Fund_Source_Code">'[8]DATA Tables'!$A$140:$A$150</definedName>
    <definedName name="gg" localSheetId="0" hidden="1">{"Dis",#N/A,FALSE,"ReorgRevisted"}</definedName>
    <definedName name="gg" hidden="1">{"Dis",#N/A,FALSE,"ReorgRevisted"}</definedName>
    <definedName name="Goal_Code">'[8]DATA Tables'!$A$30:$A$35</definedName>
    <definedName name="GRNCON">'[9]2011 DCHS (0935) Alloc 4-13ver1'!$R$44</definedName>
    <definedName name="GRNSAL">'[9]2011 DCHS (0935) Alloc 4-13ver1'!$R$22</definedName>
    <definedName name="GRNTOT">'[9]2011 DCHS (0935) Alloc 4-13ver1'!$R$66</definedName>
    <definedName name="HOFMIDDCON">'[9]2011 DCHS (0935) Alloc 4-13ver1'!$R$47</definedName>
    <definedName name="HOFMIDDSAL">'[9]2011 DCHS (0935) Alloc 4-13ver1'!$R$25</definedName>
    <definedName name="HOFMIDDTOT">'[9]2011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localSheetId="0" hidden="1">{"Dis",#N/A,FALSE,"ReorgRevisted"}</definedName>
    <definedName name="iii" hidden="1">{"Dis",#N/A,FALSE,"ReorgRevisted"}</definedName>
    <definedName name="Inflation">'[12]Assumptions'!$L$36</definedName>
    <definedName name="inn" localSheetId="0" hidden="1">{"NonWhole",#N/A,FALSE,"ReorgRevisted"}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localSheetId="0" hidden="1">{"NonWhole",#N/A,FALSE,"ReorgRevisted"}</definedName>
    <definedName name="k" hidden="1">{"NonWhole",#N/A,FALSE,"ReorgRevisted"}</definedName>
    <definedName name="kk" localSheetId="0" hidden="1">{"cxtransfer",#N/A,FALSE,"ReorgRevisted"}</definedName>
    <definedName name="kk" hidden="1">{"cxtransfer",#N/A,FALSE,"ReorgRevisted"}</definedName>
    <definedName name="LevyRate">'[6]Penny'!$H$20</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localSheetId="0" hidden="1">{"NonWhole",#N/A,FALSE,"ReorgRevisted"}</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'[9]2011 DCHS (0935) Alloc 4-13ver1'!$R$34</definedName>
    <definedName name="MIDDSAL">'[9]2011 DCHS (0935) Alloc 4-13ver1'!$R$12</definedName>
    <definedName name="MIDDSCON">'[9]2011 DCHS (0935) Alloc 4-13'!$R$49</definedName>
    <definedName name="MIDDSSAL">'[9]2011 DCHS (0935) Alloc 4-13'!$R$26</definedName>
    <definedName name="MIDDSTOT">'[9]2011 DCHS (0935) Alloc 4-13'!$R$72</definedName>
    <definedName name="MIDDTOTBUD">'[9]2011 DCHS (0935) Alloc 4-13ver1'!$R$56</definedName>
    <definedName name="Monthly_Ind_Ins">58.01</definedName>
    <definedName name="Monthly_Medical">1142</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localSheetId="0" hidden="1">{"cxtransfer",#N/A,FALSE,"ReorgRevisted"}</definedName>
    <definedName name="ob" hidden="1">{"cxtransfer",#N/A,FALSE,"ReorgRevisted"}</definedName>
    <definedName name="October" localSheetId="0">#REF!,#REF!,#REF!,#REF!,#REF!,#REF!</definedName>
    <definedName name="October">#REF!,#REF!,#REF!,#REF!,#REF!,#REF!</definedName>
    <definedName name="ok" hidden="1">{"NonWhole",#N/A,FALSE,"ReorgRevisted"}</definedName>
    <definedName name="ook" hidden="1">{"Whole",#N/A,FALSE,"ReorgRevisted"}</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'[9]2011 DCHS (0935) Alloc 4-13'!$R$48</definedName>
    <definedName name="OPDMIDDSAL">'[9]2011 DCHS (0935) Alloc 4-13'!$R$25</definedName>
    <definedName name="OPDMIDDTOT">'[9]2011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localSheetId="0" hidden="1">{"Dis",#N/A,FALSE,"ReorgRevisted"}</definedName>
    <definedName name="p" hidden="1">{"Dis",#N/A,FALSE,"ReorgRevisted"}</definedName>
    <definedName name="Penny">'[6]Penny'!$H$11</definedName>
    <definedName name="PERS_Percent">0.0613</definedName>
    <definedName name="_xlnm.Print_Area" localSheetId="0">'1451 Fin Plan'!$A$1:$I$55</definedName>
    <definedName name="Program_Area_Code">'[8]DATA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localSheetId="0" hidden="1">{"Dis",#N/A,FALSE,"ReorgRevisted"}</definedName>
    <definedName name="qqq" hidden="1">{"Dis",#N/A,FALSE,"ReorgRevisted"}</definedName>
    <definedName name="qqqqq" localSheetId="0" hidden="1">{"Dis",#N/A,FALSE,"ReorgRevisted"}</definedName>
    <definedName name="qqqqq" hidden="1">{"Dis",#N/A,FALSE,"ReorgRevisted"}</definedName>
    <definedName name="Qry01_02_03Exp" localSheetId="0">#REF!</definedName>
    <definedName name="Qry01_02_03Exp">#REF!</definedName>
    <definedName name="re" localSheetId="0" hidden="1">{"Dis",#N/A,FALSE,"ReorgRevisted"}</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'[13]Appro_Sections'!$B$7:$N$137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name" localSheetId="0" hidden="1">{"NonWhole",#N/A,FALSE,"ReorgRevisted"}</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od" localSheetId="0" hidden="1">{"NonWhole",#N/A,FALSE,"ReorgRevisted"}</definedName>
    <definedName name="rod" hidden="1">{"NonWhole",#N/A,FALSE,"ReorgRevisted"}</definedName>
    <definedName name="sad" localSheetId="0" hidden="1">{"NonWhole",#N/A,FALSE,"ReorgRevisted"}</definedName>
    <definedName name="sad" hidden="1">{"NonWhole",#N/A,FALSE,"ReorgRevisted"}</definedName>
    <definedName name="sdd" localSheetId="0"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'[8]DATA Tables'!$A$154:$A$158</definedName>
    <definedName name="sick.sick" localSheetId="0" hidden="1">{"Whole",#N/A,FALSE,"ReorgRevisted"}</definedName>
    <definedName name="sick.sick" hidden="1">{"Whole",#N/A,FALSE,"ReorgRevisted"}</definedName>
    <definedName name="sod" localSheetId="0" hidden="1">{"NonWhole",#N/A,FALSE,"ReorgRevisted"}</definedName>
    <definedName name="sod" hidden="1">{"NonWhole",#N/A,FALSE,"ReorgRevisted"}</definedName>
    <definedName name="solver_adj" localSheetId="1" hidden="1">#REF!</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nwt" localSheetId="1" hidden="1">1</definedName>
    <definedName name="solver_opt" localSheetId="1" hidden="1">#REF!</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definedName>
    <definedName name="solver_ver" localSheetId="1" hidden="1">3</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localSheetId="0" hidden="1">{"cxtransfer",#N/A,FALSE,"ReorgRevisted"}</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 localSheetId="0">'[14]DATA Tables'!$A$37:$A$46</definedName>
    <definedName name="TEST" hidden="1">{"Whole",#N/A,FALSE,"ReorgRevisted"}</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'[9]2011 DCHS (0935) Alloc 4-13ver1'!$E$103</definedName>
    <definedName name="TotalREQ">'[9]2011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localSheetId="0" hidden="1">{"cxtransfer",#N/A,FALSE,"ReorgRevisted"}</definedName>
    <definedName name="v" hidden="1">{"cxtransfer",#N/A,FALSE,"ReorgRevisted"}</definedName>
    <definedName name="w" localSheetId="0" hidden="1">{"Dis",#N/A,FALSE,"ReorgRevisted"}</definedName>
    <definedName name="w" hidden="1">{"Dis",#N/A,FALSE,"ReorgRevisted"}</definedName>
    <definedName name="wa" localSheetId="0" hidden="1">{"Dis",#N/A,FALSE,"ReorgRevisted"}</definedName>
    <definedName name="wa" hidden="1">{"Dis",#N/A,FALSE,"ReorgRevisted"}</definedName>
    <definedName name="waa" localSheetId="0"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s" localSheetId="0" hidden="1">{"Dis",#N/A,FALSE,"ReorgRevisted"}</definedName>
    <definedName name="ws" hidden="1">{"Dis",#N/A,FALSE,"ReorgRevisted"}</definedName>
    <definedName name="x" localSheetId="0" hidden="1">{"cxtransfer",#N/A,FALSE,"ReorgRevisted"}</definedName>
    <definedName name="x" hidden="1">{"cxtransfer",#N/A,FALSE,"ReorgRevisted"}</definedName>
    <definedName name="XDO_?XDOFIELD1?">#REF!</definedName>
    <definedName name="XDO_?XDOFIELD10?">#REF!</definedName>
    <definedName name="XDO_?XDOFIELD11?">#REF!</definedName>
    <definedName name="XDO_?XDOFIELD12?">#REF!</definedName>
    <definedName name="XDO_?XDOFIELD13?">#REF!</definedName>
    <definedName name="XDO_?XDOFIELD14?">#REF!</definedName>
    <definedName name="XDO_?XDOFIELD15?">#REF!</definedName>
    <definedName name="XDO_?XDOFIELD16?">#REF!</definedName>
    <definedName name="XDO_?XDOFIELD17?">#REF!</definedName>
    <definedName name="XDO_?XDOFIELD18?">#REF!</definedName>
    <definedName name="XDO_?XDOFIELD19?">#REF!</definedName>
    <definedName name="XDO_?XDOFIELD2?">#REF!</definedName>
    <definedName name="XDO_?XDOFIELD20?">#REF!</definedName>
    <definedName name="XDO_?XDOFIELD21?">#REF!</definedName>
    <definedName name="XDO_?XDOFIELD22?">#REF!</definedName>
    <definedName name="XDO_?XDOFIELD23?">#REF!</definedName>
    <definedName name="XDO_?XDOFIELD24?">#REF!</definedName>
    <definedName name="XDO_?XDOFIELD25?">#REF!</definedName>
    <definedName name="XDO_?XDOFIELD26?">#REF!</definedName>
    <definedName name="XDO_?XDOFIELD27?">#REF!</definedName>
    <definedName name="XDO_?XDOFIELD28?">#REF!</definedName>
    <definedName name="XDO_?XDOFIELD29?">#REF!</definedName>
    <definedName name="XDO_?XDOFIELD3?">#REF!</definedName>
    <definedName name="XDO_?XDOFIELD30?">#REF!</definedName>
    <definedName name="XDO_?XDOFIELD31?">#REF!</definedName>
    <definedName name="XDO_?XDOFIELD32?">#REF!</definedName>
    <definedName name="XDO_?XDOFIELD33?">#REF!</definedName>
    <definedName name="XDO_?XDOFIELD34?">#REF!</definedName>
    <definedName name="XDO_?XDOFIELD35?">#REF!</definedName>
    <definedName name="XDO_?XDOFIELD36?">#REF!</definedName>
    <definedName name="XDO_?XDOFIELD37?">#REF!</definedName>
    <definedName name="XDO_?XDOFIELD38?">#REF!</definedName>
    <definedName name="XDO_?XDOFIELD39?">#REF!</definedName>
    <definedName name="XDO_?XDOFIELD4?">#REF!</definedName>
    <definedName name="XDO_?XDOFIELD40?">#REF!</definedName>
    <definedName name="XDO_?XDOFIELD41?">#REF!</definedName>
    <definedName name="XDO_?XDOFIELD42?">#REF!</definedName>
    <definedName name="XDO_?XDOFIELD43?">#REF!</definedName>
    <definedName name="XDO_?XDOFIELD44?">#REF!</definedName>
    <definedName name="XDO_?XDOFIELD5?">#REF!</definedName>
    <definedName name="XDO_?XDOFIELD6?">#REF!</definedName>
    <definedName name="XDO_?XDOFIELD7?">#REF!</definedName>
    <definedName name="XDO_?XDOFIELD8?">#REF!</definedName>
    <definedName name="XDO_?XDOFIELD9?">#REF!</definedName>
    <definedName name="XDO_GROUP_?XDOG1?">#REF!</definedName>
    <definedName name="xls" localSheetId="0" hidden="1">{"cxtransfer",#N/A,FALSE,"ReorgRevisted"}</definedName>
    <definedName name="xls" hidden="1">{"cxtransfer",#N/A,FALSE,"ReorgRevisted"}</definedName>
    <definedName name="xxx" localSheetId="0" hidden="1">{"Dis",#N/A,FALSE,"ReorgRevisted"}</definedName>
    <definedName name="xxx" hidden="1">{"Dis",#N/A,FALSE,"ReorgRevisted"}</definedName>
    <definedName name="y" localSheetId="0" hidden="1">{"cxtransfer",#N/A,FALSE,"ReorgRevisted"}</definedName>
    <definedName name="y" hidden="1">{"cxtransfer",#N/A,FALSE,"ReorgRevisted"}</definedName>
    <definedName name="year" localSheetId="0">#REF!</definedName>
    <definedName name="year">#REF!</definedName>
    <definedName name="Year1">'[6]Penny'!$H$25</definedName>
    <definedName name="Year2">'[6]Penny'!$I$25</definedName>
    <definedName name="Year3">'[6]Penny'!$J$25</definedName>
    <definedName name="Year4">'[6]Penny'!$K$25</definedName>
    <definedName name="Year5">'[6]Penny'!$L$25</definedName>
    <definedName name="Year6">'[6]Penny'!$M$25</definedName>
    <definedName name="yes" localSheetId="0" hidden="1">{"Dis",#N/A,FALSE,"ReorgRevisted"}</definedName>
    <definedName name="yes" hidden="1">{"Dis",#N/A,FALSE,"ReorgRevisted"}</definedName>
    <definedName name="yr" localSheetId="0">#REF!</definedName>
    <definedName name="yr">#REF!</definedName>
    <definedName name="za" localSheetId="0" hidden="1">{"cxtransfer",#N/A,FALSE,"ReorgRevisted"}</definedName>
    <definedName name="za" hidden="1">{"cxtransfer",#N/A,FALSE,"ReorgRevisted"}</definedName>
    <definedName name="zz" localSheetId="0" hidden="1">{"Dis",#N/A,FALSE,"ReorgRevisted"}</definedName>
    <definedName name="zz" hidden="1">{"Dis",#N/A,FALSE,"ReorgRevisted"}</definedName>
    <definedName name="zzz" localSheetId="0" hidden="1">{"cxtransfer",#N/A,FALSE,"ReorgRevisted"}</definedName>
    <definedName name="zzz" hidden="1">{"cxtransfer",#N/A,FALSE,"ReorgRevisted"}</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<sst xmlns="http://schemas.openxmlformats.org/spreadsheetml/2006/main" count="94" uniqueCount="78">
  <si>
    <t>Six</t>
  </si>
  <si>
    <t>Actuals</t>
  </si>
  <si>
    <t>Budget</t>
  </si>
  <si>
    <t>Year</t>
  </si>
  <si>
    <t>Beginning Fund Balance</t>
  </si>
  <si>
    <t>Revenues</t>
  </si>
  <si>
    <t>King County Levy Proceeds</t>
  </si>
  <si>
    <t>Business Revenue</t>
  </si>
  <si>
    <t>Capital Planning and Administration</t>
  </si>
  <si>
    <t>Miscellaneous</t>
  </si>
  <si>
    <t>Total Revenues</t>
  </si>
  <si>
    <t>Expenditures</t>
  </si>
  <si>
    <t>King County Parks O&amp;M</t>
  </si>
  <si>
    <t xml:space="preserve">Parks, Open Space, and Trails Stewardship </t>
  </si>
  <si>
    <t>4-H/WSU Cooperative Extension</t>
  </si>
  <si>
    <t>King County Search and Rescue</t>
  </si>
  <si>
    <t>Total Expenditures</t>
  </si>
  <si>
    <t>Underexpenditure</t>
  </si>
  <si>
    <t>Ending Fund Balance</t>
  </si>
  <si>
    <t>Rainy Day Reserve (3 Month)</t>
  </si>
  <si>
    <t>Expenditure Reserve</t>
  </si>
  <si>
    <t>Cash Flow Reserve</t>
  </si>
  <si>
    <t>HIDDEN COLUMNS - for PSB Variance Analysis</t>
  </si>
  <si>
    <t>Category</t>
  </si>
  <si>
    <t>2017-2018 Actuals</t>
  </si>
  <si>
    <t>2019-2020 Adopted Budget</t>
  </si>
  <si>
    <t>2019-2020 Current Budget</t>
  </si>
  <si>
    <t>2019-2020 Biennial-to-Date Actuals</t>
  </si>
  <si>
    <t>2019-2020 Estimated</t>
  </si>
  <si>
    <t>2021-2022 Projected</t>
  </si>
  <si>
    <t>2023-2024 Projected</t>
  </si>
  <si>
    <t>Diff: Actuals to Current Budget</t>
  </si>
  <si>
    <t>BTD Actuals as Percent of Current Budget</t>
  </si>
  <si>
    <t>Diff: Estimated to Current Budget</t>
  </si>
  <si>
    <t>Estimated as Percent of Current Budget</t>
  </si>
  <si>
    <t xml:space="preserve">Beginning Fund Balance </t>
  </si>
  <si>
    <t xml:space="preserve">Expenditures </t>
  </si>
  <si>
    <r>
      <t>Estimated Underexpenditures</t>
    </r>
    <r>
      <rPr>
        <b/>
        <vertAlign val="superscript"/>
        <sz val="12"/>
        <rFont val="Calibri"/>
        <family val="2"/>
        <scheme val="minor"/>
      </rPr>
      <t xml:space="preserve"> </t>
    </r>
  </si>
  <si>
    <t>Other Fund Transactions</t>
  </si>
  <si>
    <t>Total Other Fund Transactions</t>
  </si>
  <si>
    <t>Reserves</t>
  </si>
  <si>
    <t>Total Reserves</t>
  </si>
  <si>
    <t xml:space="preserve">Reserve Shortfall </t>
  </si>
  <si>
    <t>Ending Undesignated Fund Balance</t>
  </si>
  <si>
    <t xml:space="preserve">Financial Plan Notes </t>
  </si>
  <si>
    <t>Revenues Notes:</t>
  </si>
  <si>
    <t>Expenditure Notes:</t>
  </si>
  <si>
    <t>2025-2026 Projected</t>
  </si>
  <si>
    <t>Parks Operations &amp; Maintenance</t>
  </si>
  <si>
    <t>Community Partnerships &amp; Grants</t>
  </si>
  <si>
    <t>WSU Cooperative / 4-H</t>
  </si>
  <si>
    <t>Vacancy Contra</t>
  </si>
  <si>
    <t>King County Seach and Rescue</t>
  </si>
  <si>
    <t>Business Revenue Shortfall Reserve</t>
  </si>
  <si>
    <t>• Business revenue includes user fees and entrepreneurial efforts to support the park system and reduce the burden on taxpayers. Starting in 2020, the target will reset to $5.5 million and grow one percent annually.</t>
  </si>
  <si>
    <t>• Capital planning and administration is reimbursement from capital project 1126266 in Parks Capital Fund 3581 for staff and resources that support the capital program in general but are not charged to a specific project. This amount has changed over time as more staff begin to charge their time directly to capital projects to better capture the full cost of the capital program in real time.</t>
  </si>
  <si>
    <t>Levy Stabilization Reserve</t>
  </si>
  <si>
    <t>Expenditure Contingency Reserve</t>
  </si>
  <si>
    <t>• Miscellaneous revenue includes interest earnings, delinquent levy proceeds from the previous levy term, and a levy administration fee. A levy administration fee for 2020-2025 has not yet been determined.</t>
  </si>
  <si>
    <t>• Office of Performance, Strategy, and Budget adds a vacancy contra to agency budgets to approximate the amount of budget unspent each biennium due to position vacancies.</t>
  </si>
  <si>
    <t>• The Business Revenue Shortfall Reserve sets aside additional fund balance in the event business revenues do not meet the annual target.  This reserve will be discontinued starting in 2020 due to revised assumptions for the business revenue target.</t>
  </si>
  <si>
    <t xml:space="preserve">• The Cash Flow Reserve is set to three-months of budgeted expenditures, in compliance with Motion 13764, because the main revenue for this fund is a property tax which is collected in the second quarter of each year.  This reserve stabilizes the fund's cash balance from dipping below zero before the property tax payments are made in April and October. </t>
  </si>
  <si>
    <t>• Parks will continue to contribute $100,000 starting in 2020, on a reimbursement basis, to the Washington State University Cooperative Extension in order to operate the 4-H program in King County. The amount in subsequent years will be inflation-adjusted, based on Seattle CPI-U, as reported by PSB and/or OEFA.</t>
  </si>
  <si>
    <t>Estimated</t>
  </si>
  <si>
    <t>King County Parks Levy Proceeds</t>
  </si>
  <si>
    <t>• The Expenditure Contingency Reserve reserves funding for operational costs that may grow faster than the provided outyear growth rates provided by PSB. For example between 2014-2019, Parks' share of central county services has grown faster than average due to the agency taking on a larger scope of work. Central county services includes office space, computer workstations, legal support, and the coordinating financial transactions. This is anticipated to continue in 2020-2025.</t>
  </si>
  <si>
    <t>• The Levy Stabilization Reserve reserves fund balance for the six-year levy term. A typical levy fund builds fund balance in the first half of the levy, allowing the fund to draw down reserves in the second half.</t>
  </si>
  <si>
    <t>Financial Plan</t>
  </si>
  <si>
    <t>Parks and Recreation Operating Fund/000001451</t>
  </si>
  <si>
    <t>Targeted Equity Grants</t>
  </si>
  <si>
    <t>2017-2018</t>
  </si>
  <si>
    <t xml:space="preserve">Reserve Notes (see next page): </t>
  </si>
  <si>
    <t>• The 2014-2019 King County Parks Levy expires at the end of 2019. Revenue estimates beyond 2019 are based on a 16.82 cent levy renewal option.</t>
  </si>
  <si>
    <t xml:space="preserve">2017-2018 Actuals reflects preliminary year-end data for 2018 as reported in the GL-10 report 2/13/2019. 
2019-2020 Adopted Budget is a one-year budget; 2019-2020 Estimated includes estimates for a yet to be proposed 2020 supplemental budget.
Outyear revenue and expenditure inflation assumptions are consistent with figures provided by PSB and/or OEFA.  </t>
  </si>
  <si>
    <t>This plan was updated by J Lehman on February 21, 2019.</t>
  </si>
  <si>
    <t>• Starting in 2020, Community Partnerships and Grants will be funded through the Parks Capital Fund 3581 because the grants mostly fund capital improvements.  Targeted Equity Grants will be funded through the operating fund starting in 2020. This is a program through which King County provides monies in order to achieve equitable opportunities and access to public parks and recreation for underserved communities.</t>
  </si>
  <si>
    <t>• The estimated underexpenditure in 2019 is 5% of the total budget based on historical spending patterns and expenditure targets.</t>
  </si>
  <si>
    <t>• Starting in 2020, Parks will contribute $100,000, on a reimbursement basis, to King County Search and Rescue Association.  The amount in subsequent years will be inflation-adjusted, based on Seattle CPI-U, as reported by PSB and/or OEFA.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</si>
</sst>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_(* #,##0.0000_);_(* \(#,##0.0000\);_(* &quot;-&quot;??_);_(@_)"/>
    <numFmt numFmtId="166" formatCode="0.0%"/>
    <numFmt numFmtId="167" formatCode="0.0000%"/>
  </numFmts>
  <fonts count="12">
    <font>
      <sz val="1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12"/>
      <name val="Calibri"/>
      <family val="2"/>
      <scheme val="minor"/>
    </font>
    <font>
      <sz val="12"/>
      <name val="Times New Roman"/>
      <family val="1"/>
    </font>
    <font>
      <sz val="12"/>
      <name val="Calibri"/>
      <family val="2"/>
      <scheme val="minor"/>
    </font>
    <font>
      <b/>
      <vertAlign val="superscript"/>
      <sz val="12"/>
      <name val="Calibri"/>
      <family val="2"/>
      <scheme val="minor"/>
    </font>
    <font>
      <i/>
      <u val="single"/>
      <sz val="1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6" tint="0.39998000860214233"/>
        <bgColor indexed="64"/>
      </patternFill>
    </fill>
    <fill>
      <patternFill patternType="solid">
        <fgColor theme="0"/>
        <bgColor indexed="64"/>
      </patternFill>
    </fill>
  </fills>
  <borders count="15">
    <border>
      <left/>
      <right/>
      <top/>
      <bottom/>
      <diagonal/>
    </border>
    <border>
      <left style="thin"/>
      <right style="thin"/>
      <top style="thin"/>
      <bottom/>
    </border>
    <border>
      <left style="thin"/>
      <right style="thin"/>
      <top/>
      <bottom/>
    </border>
    <border>
      <left style="thin"/>
      <right/>
      <top style="thin"/>
      <bottom style="thin"/>
    </border>
    <border>
      <left style="thin"/>
      <right style="thin"/>
      <top style="thin"/>
      <bottom style="thin"/>
    </border>
    <border>
      <left style="thin"/>
      <right/>
      <top style="thin"/>
      <bottom/>
    </border>
    <border>
      <left style="thin"/>
      <right style="thin"/>
      <top/>
      <bottom style="thin"/>
    </border>
    <border>
      <left/>
      <right style="thin"/>
      <top/>
      <bottom style="thin"/>
    </border>
    <border>
      <left/>
      <right style="thin"/>
      <top style="thin"/>
      <bottom/>
    </border>
    <border>
      <left style="thin"/>
      <right/>
      <top/>
      <bottom/>
    </border>
    <border>
      <left/>
      <right style="thin"/>
      <top/>
      <bottom/>
    </border>
    <border>
      <left style="thin"/>
      <right/>
      <top/>
      <bottom style="thin"/>
    </border>
    <border>
      <left/>
      <right style="thin"/>
      <top style="thin"/>
      <bottom style="thin"/>
    </border>
    <border>
      <left/>
      <right/>
      <top/>
      <bottom style="thin"/>
    </border>
    <border>
      <left/>
      <right/>
      <top style="thin"/>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37" fontId="8" fillId="0" borderId="0">
      <alignment/>
      <protection/>
    </xf>
    <xf numFmtId="43" fontId="0"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21">
    <xf numFmtId="0" fontId="0" fillId="0" borderId="0" xfId="0"/>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2" borderId="3" xfId="0" applyFont="1" applyFill="1" applyBorder="1" applyAlignment="1">
      <alignment vertical="center"/>
    </xf>
    <xf numFmtId="164" fontId="6" fillId="2" borderId="4" xfId="0" applyNumberFormat="1" applyFont="1" applyFill="1" applyBorder="1" applyAlignment="1">
      <alignment horizontal="center" vertical="center"/>
    </xf>
    <xf numFmtId="0" fontId="6" fillId="0" borderId="5" xfId="0" applyFont="1" applyBorder="1"/>
    <xf numFmtId="0" fontId="5" fillId="0" borderId="1" xfId="0" applyFont="1" applyBorder="1"/>
    <xf numFmtId="164" fontId="5" fillId="0" borderId="2" xfId="18" applyNumberFormat="1" applyFont="1" applyBorder="1"/>
    <xf numFmtId="164" fontId="5" fillId="0" borderId="6" xfId="0" applyNumberFormat="1" applyFont="1" applyBorder="1"/>
    <xf numFmtId="164" fontId="6" fillId="2" borderId="4" xfId="0" applyNumberFormat="1" applyFont="1" applyFill="1" applyBorder="1" applyAlignment="1">
      <alignment vertical="center"/>
    </xf>
    <xf numFmtId="164" fontId="5" fillId="0" borderId="2" xfId="18" applyNumberFormat="1" applyFont="1" applyFill="1" applyBorder="1"/>
    <xf numFmtId="164" fontId="5" fillId="3" borderId="2" xfId="18" applyNumberFormat="1" applyFont="1" applyFill="1" applyBorder="1"/>
    <xf numFmtId="164" fontId="6" fillId="0" borderId="2" xfId="18" applyNumberFormat="1" applyFont="1" applyBorder="1" applyAlignment="1">
      <alignment horizontal="left"/>
    </xf>
    <xf numFmtId="164" fontId="6" fillId="0" borderId="2" xfId="18" applyNumberFormat="1" applyFont="1" applyBorder="1" applyAlignment="1">
      <alignment horizontal="center" vertical="center"/>
    </xf>
    <xf numFmtId="164" fontId="2" fillId="3" borderId="2" xfId="18" applyNumberFormat="1" applyFont="1" applyFill="1" applyBorder="1"/>
    <xf numFmtId="165" fontId="0" fillId="0" borderId="0" xfId="0" applyNumberFormat="1"/>
    <xf numFmtId="0" fontId="1" fillId="4" borderId="0" xfId="20" applyFill="1">
      <alignment/>
      <protection/>
    </xf>
    <xf numFmtId="0" fontId="1" fillId="4" borderId="0" xfId="20" applyFill="1" applyProtection="1">
      <alignment/>
      <protection locked="0"/>
    </xf>
    <xf numFmtId="0" fontId="1" fillId="0" borderId="0" xfId="20" applyProtection="1">
      <alignment/>
      <protection locked="0"/>
    </xf>
    <xf numFmtId="0" fontId="1" fillId="0" borderId="0" xfId="20" applyFill="1" applyProtection="1">
      <alignment/>
      <protection locked="0"/>
    </xf>
    <xf numFmtId="0" fontId="7" fillId="4" borderId="0" xfId="20" applyFont="1" applyFill="1" applyAlignment="1">
      <alignment horizontal="center"/>
      <protection/>
    </xf>
    <xf numFmtId="37" fontId="7" fillId="4" borderId="4" xfId="21" applyFont="1" applyFill="1" applyBorder="1" applyAlignment="1" applyProtection="1">
      <alignment horizontal="left" wrapText="1"/>
      <protection/>
    </xf>
    <xf numFmtId="37" fontId="7" fillId="4" borderId="3" xfId="21" applyFont="1" applyFill="1" applyBorder="1" applyAlignment="1">
      <alignment horizontal="center" wrapText="1"/>
      <protection/>
    </xf>
    <xf numFmtId="37" fontId="7" fillId="4" borderId="4" xfId="21" applyFont="1" applyFill="1" applyBorder="1" applyAlignment="1">
      <alignment horizontal="center" wrapText="1"/>
      <protection/>
    </xf>
    <xf numFmtId="37" fontId="7" fillId="2" borderId="4" xfId="21" applyFont="1" applyFill="1" applyBorder="1" applyAlignment="1">
      <alignment horizontal="center" wrapText="1"/>
      <protection/>
    </xf>
    <xf numFmtId="37" fontId="7" fillId="0" borderId="4" xfId="21" applyFont="1" applyFill="1" applyBorder="1" applyAlignment="1">
      <alignment horizontal="center" wrapText="1"/>
      <protection/>
    </xf>
    <xf numFmtId="37" fontId="7" fillId="4" borderId="6" xfId="21" applyFont="1" applyFill="1" applyBorder="1" applyAlignment="1" applyProtection="1">
      <alignment horizontal="center" wrapText="1"/>
      <protection locked="0"/>
    </xf>
    <xf numFmtId="37" fontId="7" fillId="4" borderId="7" xfId="21" applyFont="1" applyFill="1" applyBorder="1" applyAlignment="1" applyProtection="1">
      <alignment horizontal="center" wrapText="1"/>
      <protection locked="0"/>
    </xf>
    <xf numFmtId="37" fontId="7" fillId="4" borderId="2" xfId="21" applyFont="1" applyFill="1" applyBorder="1" applyAlignment="1" applyProtection="1">
      <alignment horizontal="center" wrapText="1"/>
      <protection locked="0"/>
    </xf>
    <xf numFmtId="37" fontId="7" fillId="4" borderId="4" xfId="21" applyFont="1" applyFill="1" applyBorder="1" applyAlignment="1" applyProtection="1">
      <alignment horizontal="left"/>
      <protection locked="0"/>
    </xf>
    <xf numFmtId="164" fontId="7" fillId="4" borderId="4" xfId="22" applyNumberFormat="1" applyFont="1" applyFill="1" applyBorder="1" applyAlignment="1" applyProtection="1">
      <alignment horizontal="right" indent="1"/>
      <protection locked="0"/>
    </xf>
    <xf numFmtId="164" fontId="7" fillId="4" borderId="4" xfId="22" applyNumberFormat="1" applyFont="1" applyFill="1" applyBorder="1" applyAlignment="1" applyProtection="1">
      <alignment horizontal="right" indent="1"/>
      <protection/>
    </xf>
    <xf numFmtId="164" fontId="1" fillId="4" borderId="1" xfId="20" applyNumberFormat="1" applyFill="1" applyBorder="1" applyAlignment="1" applyProtection="1">
      <alignment horizontal="right" indent="1"/>
      <protection locked="0"/>
    </xf>
    <xf numFmtId="9" fontId="0" fillId="4" borderId="8" xfId="23" applyNumberFormat="1" applyFont="1" applyFill="1" applyBorder="1" applyProtection="1">
      <protection locked="0"/>
    </xf>
    <xf numFmtId="166" fontId="0" fillId="0" borderId="0" xfId="23" applyNumberFormat="1" applyFont="1" applyProtection="1">
      <protection locked="0"/>
    </xf>
    <xf numFmtId="37" fontId="7" fillId="4" borderId="2" xfId="21" applyFont="1" applyFill="1" applyBorder="1" applyAlignment="1" applyProtection="1">
      <alignment horizontal="left" vertical="center"/>
      <protection locked="0"/>
    </xf>
    <xf numFmtId="164" fontId="7" fillId="4" borderId="9" xfId="21" applyNumberFormat="1" applyFont="1" applyFill="1" applyBorder="1" applyAlignment="1">
      <alignment horizontal="right" vertical="center" indent="1"/>
      <protection/>
    </xf>
    <xf numFmtId="164" fontId="9" fillId="2" borderId="1" xfId="22" applyNumberFormat="1" applyFont="1" applyFill="1" applyBorder="1" applyAlignment="1">
      <alignment horizontal="right" vertical="center" indent="1"/>
    </xf>
    <xf numFmtId="164" fontId="9" fillId="0" borderId="1" xfId="22" applyNumberFormat="1" applyFont="1" applyFill="1" applyBorder="1" applyAlignment="1">
      <alignment horizontal="right" vertical="center" indent="1"/>
    </xf>
    <xf numFmtId="164" fontId="9" fillId="4" borderId="1" xfId="22" applyNumberFormat="1" applyFont="1" applyFill="1" applyBorder="1" applyAlignment="1">
      <alignment horizontal="right" vertical="center" indent="1"/>
    </xf>
    <xf numFmtId="0" fontId="1" fillId="4" borderId="8" xfId="20" applyFill="1" applyBorder="1" applyProtection="1">
      <alignment/>
      <protection locked="0"/>
    </xf>
    <xf numFmtId="37" fontId="9" fillId="4" borderId="2" xfId="21" applyFont="1" applyFill="1" applyBorder="1" applyAlignment="1" applyProtection="1">
      <alignment horizontal="left"/>
      <protection locked="0"/>
    </xf>
    <xf numFmtId="164" fontId="9" fillId="4" borderId="9" xfId="21" applyNumberFormat="1" applyFont="1" applyFill="1" applyBorder="1" applyAlignment="1" applyProtection="1">
      <alignment horizontal="right" indent="1"/>
      <protection locked="0"/>
    </xf>
    <xf numFmtId="164" fontId="1" fillId="4" borderId="2" xfId="20" applyNumberFormat="1" applyFill="1" applyBorder="1" applyAlignment="1" applyProtection="1">
      <alignment horizontal="right" indent="1"/>
      <protection locked="0"/>
    </xf>
    <xf numFmtId="9" fontId="0" fillId="4" borderId="10" xfId="23" applyNumberFormat="1" applyFont="1" applyFill="1" applyBorder="1" applyProtection="1">
      <protection locked="0"/>
    </xf>
    <xf numFmtId="0" fontId="1" fillId="0" borderId="0" xfId="20" applyFont="1" applyFill="1" applyProtection="1">
      <alignment/>
      <protection locked="0"/>
    </xf>
    <xf numFmtId="0" fontId="1" fillId="0" borderId="0" xfId="20" applyFont="1" applyProtection="1">
      <alignment/>
      <protection locked="0"/>
    </xf>
    <xf numFmtId="164" fontId="9" fillId="2" borderId="2" xfId="22" applyNumberFormat="1" applyFont="1" applyFill="1" applyBorder="1" applyAlignment="1" applyProtection="1">
      <alignment horizontal="right" vertical="center" indent="1"/>
      <protection locked="0"/>
    </xf>
    <xf numFmtId="164" fontId="9" fillId="0" borderId="2" xfId="22" applyNumberFormat="1" applyFont="1" applyFill="1" applyBorder="1" applyAlignment="1" applyProtection="1">
      <alignment horizontal="right" vertical="center" indent="1"/>
      <protection locked="0"/>
    </xf>
    <xf numFmtId="164" fontId="9" fillId="4" borderId="2" xfId="22" applyNumberFormat="1" applyFont="1" applyFill="1" applyBorder="1" applyAlignment="1" applyProtection="1">
      <alignment horizontal="right" vertical="center" indent="1"/>
      <protection locked="0"/>
    </xf>
    <xf numFmtId="37" fontId="7" fillId="4" borderId="6" xfId="21" applyFont="1" applyFill="1" applyBorder="1" applyAlignment="1" applyProtection="1">
      <alignment horizontal="left" vertical="center"/>
      <protection locked="0"/>
    </xf>
    <xf numFmtId="164" fontId="7" fillId="4" borderId="11" xfId="22" applyNumberFormat="1" applyFont="1" applyFill="1" applyBorder="1" applyAlignment="1">
      <alignment horizontal="right" vertical="center" indent="1"/>
    </xf>
    <xf numFmtId="164" fontId="7" fillId="2" borderId="11" xfId="22" applyNumberFormat="1" applyFont="1" applyFill="1" applyBorder="1" applyAlignment="1">
      <alignment horizontal="right" vertical="center" indent="1"/>
    </xf>
    <xf numFmtId="164" fontId="7" fillId="0" borderId="11" xfId="22" applyNumberFormat="1" applyFont="1" applyFill="1" applyBorder="1" applyAlignment="1">
      <alignment horizontal="right" vertical="center" indent="1"/>
    </xf>
    <xf numFmtId="164" fontId="7" fillId="4" borderId="6" xfId="22" applyNumberFormat="1" applyFont="1" applyFill="1" applyBorder="1" applyAlignment="1">
      <alignment horizontal="right" vertical="center" indent="1"/>
    </xf>
    <xf numFmtId="164" fontId="9" fillId="2" borderId="1" xfId="22" applyNumberFormat="1" applyFont="1" applyFill="1" applyBorder="1" applyAlignment="1" applyProtection="1">
      <alignment horizontal="right" vertical="center" indent="1"/>
      <protection locked="0"/>
    </xf>
    <xf numFmtId="164" fontId="9" fillId="0" borderId="1" xfId="22" applyNumberFormat="1" applyFont="1" applyFill="1" applyBorder="1" applyAlignment="1" applyProtection="1">
      <alignment horizontal="right" vertical="center" indent="1"/>
      <protection locked="0"/>
    </xf>
    <xf numFmtId="164" fontId="9" fillId="4" borderId="1" xfId="22" applyNumberFormat="1" applyFont="1" applyFill="1" applyBorder="1" applyAlignment="1" applyProtection="1">
      <alignment horizontal="right" vertical="center" indent="1"/>
      <protection locked="0"/>
    </xf>
    <xf numFmtId="9" fontId="1" fillId="4" borderId="1" xfId="20" applyNumberFormat="1" applyFill="1" applyBorder="1" applyProtection="1">
      <alignment/>
      <protection locked="0"/>
    </xf>
    <xf numFmtId="9" fontId="0" fillId="4" borderId="2" xfId="23" applyNumberFormat="1" applyFont="1" applyFill="1" applyBorder="1" applyProtection="1">
      <protection locked="0"/>
    </xf>
    <xf numFmtId="164" fontId="7" fillId="2" borderId="6" xfId="22" applyNumberFormat="1" applyFont="1" applyFill="1" applyBorder="1" applyAlignment="1">
      <alignment horizontal="right" vertical="center" indent="1"/>
    </xf>
    <xf numFmtId="164" fontId="7" fillId="0" borderId="6" xfId="22" applyNumberFormat="1" applyFont="1" applyFill="1" applyBorder="1" applyAlignment="1">
      <alignment horizontal="right" vertical="center" indent="1"/>
    </xf>
    <xf numFmtId="9" fontId="0" fillId="4" borderId="6" xfId="23" applyNumberFormat="1" applyFont="1" applyFill="1" applyBorder="1" applyProtection="1">
      <protection locked="0"/>
    </xf>
    <xf numFmtId="37" fontId="7" fillId="4" borderId="4" xfId="21" applyFont="1" applyFill="1" applyBorder="1" applyAlignment="1" applyProtection="1">
      <alignment horizontal="left" vertical="center"/>
      <protection locked="0"/>
    </xf>
    <xf numFmtId="164" fontId="7" fillId="4" borderId="4" xfId="21" applyNumberFormat="1" applyFont="1" applyFill="1" applyBorder="1" applyAlignment="1" applyProtection="1">
      <alignment horizontal="right" vertical="center" indent="1"/>
      <protection locked="0"/>
    </xf>
    <xf numFmtId="164" fontId="1" fillId="4" borderId="4" xfId="20" applyNumberFormat="1" applyFill="1" applyBorder="1" applyAlignment="1" applyProtection="1">
      <alignment horizontal="right" indent="1"/>
      <protection locked="0"/>
    </xf>
    <xf numFmtId="9" fontId="0" fillId="4" borderId="4" xfId="23" applyNumberFormat="1" applyFont="1" applyFill="1" applyBorder="1" applyProtection="1">
      <protection locked="0"/>
    </xf>
    <xf numFmtId="164" fontId="7" fillId="4" borderId="2" xfId="21" applyNumberFormat="1" applyFont="1" applyFill="1" applyBorder="1" applyAlignment="1" applyProtection="1">
      <alignment horizontal="right" vertical="center" indent="1"/>
      <protection locked="0"/>
    </xf>
    <xf numFmtId="37" fontId="9" fillId="4" borderId="9" xfId="21" applyFont="1" applyFill="1" applyBorder="1" applyAlignment="1" applyProtection="1" quotePrefix="1">
      <alignment horizontal="left" vertical="center"/>
      <protection locked="0"/>
    </xf>
    <xf numFmtId="164" fontId="9" fillId="2" borderId="9" xfId="21" applyNumberFormat="1" applyFont="1" applyFill="1" applyBorder="1" applyAlignment="1" applyProtection="1">
      <alignment horizontal="right" indent="1"/>
      <protection locked="0"/>
    </xf>
    <xf numFmtId="164" fontId="9" fillId="0" borderId="9" xfId="21" applyNumberFormat="1" applyFont="1" applyFill="1" applyBorder="1" applyAlignment="1" applyProtection="1">
      <alignment horizontal="right" indent="1"/>
      <protection locked="0"/>
    </xf>
    <xf numFmtId="164" fontId="9" fillId="4" borderId="2" xfId="21" applyNumberFormat="1" applyFont="1" applyFill="1" applyBorder="1" applyAlignment="1" applyProtection="1">
      <alignment horizontal="right" indent="1"/>
      <protection locked="0"/>
    </xf>
    <xf numFmtId="164" fontId="1" fillId="4" borderId="6" xfId="20" applyNumberFormat="1" applyFill="1" applyBorder="1" applyAlignment="1" applyProtection="1">
      <alignment horizontal="right" indent="1"/>
      <protection locked="0"/>
    </xf>
    <xf numFmtId="164" fontId="9" fillId="4" borderId="4" xfId="22" applyNumberFormat="1" applyFont="1" applyFill="1" applyBorder="1" applyAlignment="1" applyProtection="1" quotePrefix="1">
      <alignment horizontal="right" vertical="center" indent="1"/>
      <protection/>
    </xf>
    <xf numFmtId="164" fontId="9" fillId="2" borderId="4" xfId="22" applyNumberFormat="1" applyFont="1" applyFill="1" applyBorder="1" applyAlignment="1" applyProtection="1" quotePrefix="1">
      <alignment horizontal="right" vertical="center" indent="1"/>
      <protection/>
    </xf>
    <xf numFmtId="164" fontId="9" fillId="0" borderId="4" xfId="22" applyNumberFormat="1" applyFont="1" applyFill="1" applyBorder="1" applyAlignment="1" applyProtection="1" quotePrefix="1">
      <alignment horizontal="right" vertical="center" indent="1"/>
      <protection/>
    </xf>
    <xf numFmtId="164" fontId="7" fillId="4" borderId="2" xfId="21" applyNumberFormat="1" applyFont="1" applyFill="1" applyBorder="1" applyAlignment="1">
      <alignment horizontal="right" vertical="center" indent="1"/>
      <protection/>
    </xf>
    <xf numFmtId="164" fontId="9" fillId="2" borderId="2" xfId="22" applyNumberFormat="1" applyFont="1" applyFill="1" applyBorder="1" applyAlignment="1">
      <alignment horizontal="right" vertical="center" indent="1"/>
    </xf>
    <xf numFmtId="164" fontId="9" fillId="0" borderId="2" xfId="22" applyNumberFormat="1" applyFont="1" applyFill="1" applyBorder="1" applyAlignment="1">
      <alignment horizontal="right" vertical="center" indent="1"/>
    </xf>
    <xf numFmtId="164" fontId="9" fillId="4" borderId="2" xfId="22" applyNumberFormat="1" applyFont="1" applyFill="1" applyBorder="1" applyAlignment="1">
      <alignment horizontal="right" vertical="center" indent="1"/>
    </xf>
    <xf numFmtId="9" fontId="1" fillId="4" borderId="10" xfId="20" applyNumberFormat="1" applyFill="1" applyBorder="1" applyProtection="1">
      <alignment/>
      <protection locked="0"/>
    </xf>
    <xf numFmtId="164" fontId="9" fillId="4" borderId="10" xfId="22" applyNumberFormat="1" applyFont="1" applyFill="1" applyBorder="1" applyAlignment="1" applyProtection="1">
      <alignment horizontal="right" vertical="center" indent="1"/>
      <protection locked="0"/>
    </xf>
    <xf numFmtId="164" fontId="9" fillId="2" borderId="10" xfId="22" applyNumberFormat="1" applyFont="1" applyFill="1" applyBorder="1" applyAlignment="1" applyProtection="1">
      <alignment horizontal="right" vertical="center" indent="1"/>
      <protection locked="0"/>
    </xf>
    <xf numFmtId="164" fontId="7" fillId="4" borderId="2" xfId="22" applyNumberFormat="1" applyFont="1" applyFill="1" applyBorder="1" applyAlignment="1">
      <alignment horizontal="right" vertical="center" indent="1"/>
    </xf>
    <xf numFmtId="164" fontId="7" fillId="2" borderId="2" xfId="22" applyNumberFormat="1" applyFont="1" applyFill="1" applyBorder="1" applyAlignment="1">
      <alignment horizontal="right" vertical="center" indent="1"/>
    </xf>
    <xf numFmtId="164" fontId="7" fillId="0" borderId="2" xfId="22" applyNumberFormat="1" applyFont="1" applyFill="1" applyBorder="1" applyAlignment="1">
      <alignment horizontal="right" vertical="center" indent="1"/>
    </xf>
    <xf numFmtId="37" fontId="9" fillId="4" borderId="2" xfId="21" applyFont="1" applyFill="1" applyBorder="1" applyAlignment="1" applyProtection="1">
      <alignment horizontal="left" vertical="center"/>
      <protection locked="0"/>
    </xf>
    <xf numFmtId="164" fontId="9" fillId="4" borderId="2" xfId="21" applyNumberFormat="1" applyFont="1" applyFill="1" applyBorder="1" applyAlignment="1">
      <alignment horizontal="right" vertical="center" indent="1"/>
      <protection/>
    </xf>
    <xf numFmtId="164" fontId="7" fillId="4" borderId="6" xfId="21" applyNumberFormat="1" applyFont="1" applyFill="1" applyBorder="1" applyAlignment="1">
      <alignment horizontal="right" vertical="center" indent="1"/>
      <protection/>
    </xf>
    <xf numFmtId="164" fontId="7" fillId="2" borderId="6" xfId="24" applyNumberFormat="1" applyFont="1" applyFill="1" applyBorder="1" applyAlignment="1">
      <alignment horizontal="right" vertical="center" indent="1"/>
    </xf>
    <xf numFmtId="164" fontId="7" fillId="0" borderId="6" xfId="24" applyNumberFormat="1" applyFont="1" applyFill="1" applyBorder="1" applyAlignment="1">
      <alignment horizontal="right" vertical="center" indent="1"/>
    </xf>
    <xf numFmtId="164" fontId="7" fillId="4" borderId="6" xfId="24" applyNumberFormat="1" applyFont="1" applyFill="1" applyBorder="1" applyAlignment="1">
      <alignment horizontal="right" vertical="center" indent="1"/>
    </xf>
    <xf numFmtId="164" fontId="7" fillId="4" borderId="4" xfId="24" applyNumberFormat="1" applyFont="1" applyFill="1" applyBorder="1" applyAlignment="1">
      <alignment horizontal="right" vertical="center" indent="1"/>
    </xf>
    <xf numFmtId="164" fontId="7" fillId="2" borderId="4" xfId="24" applyNumberFormat="1" applyFont="1" applyFill="1" applyBorder="1" applyAlignment="1">
      <alignment horizontal="right" vertical="center" indent="1"/>
    </xf>
    <xf numFmtId="164" fontId="7" fillId="0" borderId="4" xfId="24" applyNumberFormat="1" applyFont="1" applyFill="1" applyBorder="1" applyAlignment="1">
      <alignment horizontal="right" vertical="center" indent="1"/>
    </xf>
    <xf numFmtId="9" fontId="0" fillId="4" borderId="12" xfId="23" applyNumberFormat="1" applyFont="1" applyFill="1" applyBorder="1" applyProtection="1">
      <protection locked="0"/>
    </xf>
    <xf numFmtId="0" fontId="1" fillId="0" borderId="0" xfId="20">
      <alignment/>
      <protection/>
    </xf>
    <xf numFmtId="37" fontId="7" fillId="0" borderId="0" xfId="21" applyFont="1" applyFill="1" applyAlignment="1" applyProtection="1">
      <alignment horizontal="left"/>
      <protection locked="0"/>
    </xf>
    <xf numFmtId="37" fontId="7" fillId="0" borderId="0" xfId="21" applyFont="1" applyFill="1" applyAlignment="1">
      <alignment horizontal="left"/>
      <protection/>
    </xf>
    <xf numFmtId="37" fontId="9" fillId="0" borderId="0" xfId="21" applyFont="1" applyFill="1" applyBorder="1">
      <alignment/>
      <protection/>
    </xf>
    <xf numFmtId="0" fontId="5" fillId="0" borderId="0" xfId="20" applyFont="1" applyProtection="1">
      <alignment/>
      <protection/>
    </xf>
    <xf numFmtId="0" fontId="4" fillId="0" borderId="0" xfId="20" applyFont="1" applyProtection="1">
      <alignment/>
      <protection/>
    </xf>
    <xf numFmtId="0" fontId="1" fillId="4" borderId="10" xfId="20" applyFill="1" applyBorder="1" applyProtection="1">
      <alignment/>
      <protection locked="0"/>
    </xf>
    <xf numFmtId="9" fontId="1" fillId="4" borderId="2" xfId="20" applyNumberFormat="1" applyFill="1" applyBorder="1" applyProtection="1">
      <alignment/>
      <protection locked="0"/>
    </xf>
    <xf numFmtId="164" fontId="9" fillId="0" borderId="9" xfId="21" applyNumberFormat="1" applyFont="1" applyFill="1" applyBorder="1" applyAlignment="1">
      <alignment horizontal="right" vertical="center" indent="1"/>
      <protection/>
    </xf>
    <xf numFmtId="164" fontId="9" fillId="4" borderId="9" xfId="21" applyNumberFormat="1" applyFont="1" applyFill="1" applyBorder="1" applyAlignment="1">
      <alignment horizontal="right" vertical="center" indent="1"/>
      <protection/>
    </xf>
    <xf numFmtId="4" fontId="0" fillId="0" borderId="0" xfId="0" applyNumberFormat="1"/>
    <xf numFmtId="167" fontId="0" fillId="0" borderId="0" xfId="15" applyNumberFormat="1" applyFont="1"/>
    <xf numFmtId="164" fontId="1" fillId="0" borderId="0" xfId="20" applyNumberFormat="1" applyProtection="1">
      <alignment/>
      <protection locked="0"/>
    </xf>
    <xf numFmtId="0" fontId="5" fillId="0" borderId="0" xfId="0" applyFont="1" applyFill="1" applyAlignment="1" applyProtection="1" quotePrefix="1">
      <alignment horizontal="left" vertical="top" wrapText="1"/>
      <protection locked="0"/>
    </xf>
    <xf numFmtId="0" fontId="5" fillId="0" borderId="0" xfId="20" applyFont="1" applyFill="1" applyAlignment="1" applyProtection="1">
      <alignment horizontal="left" vertical="top" wrapText="1"/>
      <protection locked="0"/>
    </xf>
    <xf numFmtId="0" fontId="11" fillId="0" borderId="0" xfId="20" applyFont="1" applyFill="1" applyAlignment="1" applyProtection="1">
      <alignment horizontal="left" vertical="top" wrapText="1"/>
      <protection locked="0"/>
    </xf>
    <xf numFmtId="0" fontId="7" fillId="4" borderId="0" xfId="20" applyFont="1" applyFill="1" applyAlignment="1" applyProtection="1">
      <alignment horizontal="center"/>
      <protection locked="0"/>
    </xf>
    <xf numFmtId="0" fontId="7" fillId="4" borderId="0" xfId="0" applyFont="1" applyFill="1" applyAlignment="1" applyProtection="1">
      <alignment horizontal="center"/>
      <protection locked="0"/>
    </xf>
    <xf numFmtId="0" fontId="5" fillId="0" borderId="0" xfId="0" applyFont="1" applyFill="1" applyAlignment="1" applyProtection="1">
      <alignment horizontal="left" vertical="top" wrapText="1"/>
      <protection locked="0"/>
    </xf>
    <xf numFmtId="0" fontId="3" fillId="0" borderId="13" xfId="20" applyFont="1" applyFill="1" applyBorder="1" applyAlignment="1" applyProtection="1">
      <alignment horizontal="center"/>
      <protection locked="0"/>
    </xf>
    <xf numFmtId="0" fontId="3" fillId="2" borderId="5" xfId="20" applyFont="1" applyFill="1" applyBorder="1" applyAlignment="1" applyProtection="1">
      <alignment horizontal="center"/>
      <protection locked="0"/>
    </xf>
    <xf numFmtId="0" fontId="3" fillId="2" borderId="14" xfId="20" applyFont="1" applyFill="1" applyBorder="1" applyAlignment="1" applyProtection="1">
      <alignment horizontal="center"/>
      <protection locked="0"/>
    </xf>
    <xf numFmtId="0" fontId="3" fillId="2" borderId="8" xfId="20" applyFont="1" applyFill="1" applyBorder="1" applyAlignment="1" applyProtection="1">
      <alignment horizontal="center"/>
      <protection locked="0"/>
    </xf>
    <xf numFmtId="37" fontId="5" fillId="0" borderId="0" xfId="21" applyFont="1" applyFill="1" applyAlignment="1" applyProtection="1">
      <alignment vertical="top" wrapText="1"/>
      <protection locked="0"/>
    </xf>
    <xf numFmtId="0" fontId="1" fillId="0" borderId="0" xfId="20" applyFont="1" applyAlignment="1">
      <alignment vertical="top" wrapText="1"/>
      <protection/>
    </xf>
  </cellXfs>
  <cellStyles count="11">
    <cellStyle name="Normal" xfId="0"/>
    <cellStyle name="Percent" xfId="15"/>
    <cellStyle name="Currency" xfId="16"/>
    <cellStyle name="Currency [0]" xfId="17"/>
    <cellStyle name="Comma" xfId="18"/>
    <cellStyle name="Comma [0]" xfId="19"/>
    <cellStyle name="Normal 2" xfId="20"/>
    <cellStyle name="Normal_AIRPLAN.XLS" xfId="21"/>
    <cellStyle name="Comma 2" xfId="22"/>
    <cellStyle name="Percent 2" xfId="23"/>
    <cellStyle name="Comma 3"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customXml" Target="../customXml/item1.xml" /><Relationship Id="rId20" Type="http://schemas.openxmlformats.org/officeDocument/2006/relationships/customXml" Target="../customXml/item2.xml" /><Relationship Id="rId21" Type="http://schemas.openxmlformats.org/officeDocument/2006/relationships/customXml" Target="../customXml/item3.xml" /><Relationship Id="rId22" Type="http://schemas.openxmlformats.org/officeDocument/2006/relationships/customXml" Target="../customXml/item4.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1-portal2.sharepoint.com\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s:\\kc1-portal2.sharepoint.com\Documents%20and%20Settings\gonzacr\Local%20Settings\Temporary%20Internet%20Files\OLK65\Copy%20of%20Countywide_Equipment_Replacement_Templates%20BA%20Example%2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kc1-portal2.sharepoint.com\LEVY%20MAIN%20FILE\Levy%202020-2025\Levy%20Model\Archive\2020-2025%20Economic%20Model%2011.29.2018.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s:\\kc1-portal2.sharepoint.com\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kc1-portal2.sharepoint.com\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RPKFS0PRP00002\PCR-Share\LEVY%20MAIN%20FILE\Levy%202020-2025\Levy%20Model\2020-2025%20Economic%20Model%201.7.2019%20-%20Legislation%20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kc1-portal2.sharepoint.com\Users\recordj\AppData\Local\Microsoft\Windows\Temporary%20Internet%20Files\Content.Outlook\DJH4TYBY\Countywide_Equipment_Replacement_Template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ssumptions"/>
      <sheetName val="Penny"/>
      <sheetName val="12.67 cents"/>
      <sheetName val="15 cents"/>
      <sheetName val="16.2 cents"/>
      <sheetName val="16.57 cents"/>
      <sheetName val="equity (1)"/>
      <sheetName val="16.38 cents"/>
      <sheetName val="equity (2)"/>
      <sheetName val="17 cents"/>
      <sheetName val="18.08 cents"/>
      <sheetName val="pie charts"/>
      <sheetName val="LCI"/>
      <sheetName val="FORECAST"/>
      <sheetName val="Oper Fin Plan"/>
      <sheetName val="Growth"/>
      <sheetName val="RTS"/>
      <sheetName val="19-20BUDG"/>
      <sheetName val="FORECAST (DEC-2017)"/>
    </sheetNames>
    <sheetDataSet>
      <sheetData sheetId="0">
        <row r="5">
          <cell r="H5">
            <v>0.01</v>
          </cell>
        </row>
        <row r="36">
          <cell r="L36">
            <v>0.029</v>
          </cell>
        </row>
      </sheetData>
      <sheetData sheetId="1">
        <row r="11">
          <cell r="H11">
            <v>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Penny"/>
      <sheetName val="Menu"/>
      <sheetName val="equity"/>
      <sheetName val="Financial Plan"/>
      <sheetName val="RTS"/>
      <sheetName val="Fiscal Note"/>
      <sheetName val="Oper Fin Plan"/>
      <sheetName val="19-20ADOBUD"/>
      <sheetName val="Oper Fin Plan (2)"/>
    </sheetNames>
    <sheetDataSet>
      <sheetData sheetId="0">
        <row r="5">
          <cell r="H5">
            <v>0.01</v>
          </cell>
        </row>
      </sheetData>
      <sheetData sheetId="1">
        <row r="11">
          <cell r="H11">
            <v>0.01</v>
          </cell>
        </row>
        <row r="20">
          <cell r="H20">
            <v>0.1678</v>
          </cell>
        </row>
        <row r="25">
          <cell r="H25">
            <v>108399395.5512294</v>
          </cell>
          <cell r="I25">
            <v>113851320.80428381</v>
          </cell>
          <cell r="J25">
            <v>119296527.24558936</v>
          </cell>
          <cell r="K25">
            <v>124902834.5420229</v>
          </cell>
          <cell r="L25">
            <v>130701332.66398722</v>
          </cell>
          <cell r="M25">
            <v>136747243.4840486</v>
          </cell>
        </row>
      </sheetData>
      <sheetData sheetId="2">
        <row r="40">
          <cell r="C40">
            <v>16.78</v>
          </cell>
        </row>
      </sheetData>
      <sheetData sheetId="3"/>
      <sheetData sheetId="4"/>
      <sheetData sheetId="5">
        <row r="23">
          <cell r="E23">
            <v>0</v>
          </cell>
        </row>
      </sheetData>
      <sheetData sheetId="6"/>
      <sheetData sheetId="7"/>
      <sheetData sheetId="8"/>
      <sheetData sheetId="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showGridLines="0" tabSelected="1" zoomScale="140" zoomScaleNormal="140" workbookViewId="0" topLeftCell="A16">
      <selection activeCell="A47" sqref="A47:I47"/>
    </sheetView>
  </sheetViews>
  <sheetFormatPr defaultColWidth="9.140625" defaultRowHeight="12.75" outlineLevelCol="2"/>
  <cols>
    <col min="1" max="1" width="37.421875" style="96" customWidth="1"/>
    <col min="2" max="2" width="16.00390625" style="96" customWidth="1"/>
    <col min="3" max="3" width="16.57421875" style="96" customWidth="1"/>
    <col min="4" max="5" width="14.7109375" style="96" hidden="1" customWidth="1" outlineLevel="2"/>
    <col min="6" max="6" width="16.28125" style="96" customWidth="1" outlineLevel="1" collapsed="1"/>
    <col min="7" max="7" width="17.7109375" style="96" bestFit="1" customWidth="1"/>
    <col min="8" max="8" width="17.57421875" style="96" customWidth="1"/>
    <col min="9" max="9" width="16.421875" style="96" bestFit="1" customWidth="1"/>
    <col min="10" max="10" width="2.28125" style="96" customWidth="1"/>
    <col min="11" max="12" width="15.7109375" style="96" hidden="1" customWidth="1" outlineLevel="1"/>
    <col min="13" max="13" width="1.8515625" style="96" hidden="1" customWidth="1" outlineLevel="1"/>
    <col min="14" max="15" width="15.7109375" style="96" hidden="1" customWidth="1" outlineLevel="1"/>
    <col min="16" max="16" width="9.140625" style="96" customWidth="1" collapsed="1"/>
    <col min="17" max="17" width="9.140625" style="96" customWidth="1"/>
    <col min="18" max="18" width="11.28125" style="96" bestFit="1" customWidth="1"/>
    <col min="19" max="16384" width="9.140625" style="96" customWidth="1"/>
  </cols>
  <sheetData>
    <row r="1" spans="1:15" s="18" customFormat="1" ht="15.75">
      <c r="A1" s="112" t="s">
        <v>67</v>
      </c>
      <c r="B1" s="112"/>
      <c r="C1" s="112"/>
      <c r="D1" s="112"/>
      <c r="E1" s="112"/>
      <c r="F1" s="112"/>
      <c r="G1" s="112"/>
      <c r="H1" s="112"/>
      <c r="I1" s="112"/>
      <c r="J1" s="16"/>
      <c r="K1" s="17"/>
      <c r="L1" s="17"/>
      <c r="M1" s="17"/>
      <c r="N1" s="17"/>
      <c r="O1" s="17"/>
    </row>
    <row r="2" spans="1:19" s="18" customFormat="1" ht="15.75">
      <c r="A2" s="113" t="s">
        <v>68</v>
      </c>
      <c r="B2" s="113"/>
      <c r="C2" s="113"/>
      <c r="D2" s="113"/>
      <c r="E2" s="113"/>
      <c r="F2" s="113"/>
      <c r="G2" s="113"/>
      <c r="H2" s="113"/>
      <c r="I2" s="113"/>
      <c r="J2" s="16"/>
      <c r="K2" s="115"/>
      <c r="L2" s="115"/>
      <c r="M2" s="115"/>
      <c r="N2" s="115"/>
      <c r="O2" s="115"/>
      <c r="P2" s="19"/>
      <c r="Q2" s="19"/>
      <c r="R2" s="19"/>
      <c r="S2" s="19"/>
    </row>
    <row r="3" spans="1:19" s="18" customFormat="1" ht="15.75">
      <c r="A3" s="20"/>
      <c r="B3" s="20"/>
      <c r="C3" s="20"/>
      <c r="D3" s="20"/>
      <c r="E3" s="20"/>
      <c r="F3" s="20"/>
      <c r="G3" s="20"/>
      <c r="H3" s="20"/>
      <c r="I3" s="20"/>
      <c r="J3" s="16"/>
      <c r="K3" s="116" t="s">
        <v>22</v>
      </c>
      <c r="L3" s="117"/>
      <c r="M3" s="117"/>
      <c r="N3" s="117"/>
      <c r="O3" s="118"/>
      <c r="P3" s="19"/>
      <c r="Q3" s="19"/>
      <c r="R3" s="19"/>
      <c r="S3" s="19"/>
    </row>
    <row r="4" spans="1:15" s="18" customFormat="1" ht="33" customHeight="1">
      <c r="A4" s="21" t="s">
        <v>23</v>
      </c>
      <c r="B4" s="22" t="s">
        <v>24</v>
      </c>
      <c r="C4" s="23" t="s">
        <v>25</v>
      </c>
      <c r="D4" s="24" t="s">
        <v>26</v>
      </c>
      <c r="E4" s="24" t="s">
        <v>27</v>
      </c>
      <c r="F4" s="25" t="s">
        <v>28</v>
      </c>
      <c r="G4" s="23" t="s">
        <v>29</v>
      </c>
      <c r="H4" s="23" t="s">
        <v>30</v>
      </c>
      <c r="I4" s="23" t="s">
        <v>47</v>
      </c>
      <c r="J4" s="16"/>
      <c r="K4" s="26" t="s">
        <v>31</v>
      </c>
      <c r="L4" s="27" t="s">
        <v>32</v>
      </c>
      <c r="M4" s="17"/>
      <c r="N4" s="26" t="s">
        <v>33</v>
      </c>
      <c r="O4" s="28" t="s">
        <v>34</v>
      </c>
    </row>
    <row r="5" spans="1:18" s="18" customFormat="1" ht="15.75">
      <c r="A5" s="29" t="s">
        <v>35</v>
      </c>
      <c r="B5" s="30">
        <v>14789916</v>
      </c>
      <c r="C5" s="31">
        <v>14677755.514604792</v>
      </c>
      <c r="D5" s="31">
        <f>B25</f>
        <v>17583691.090000093</v>
      </c>
      <c r="E5" s="31">
        <f>B25</f>
        <v>17583691.090000093</v>
      </c>
      <c r="F5" s="31">
        <f>B25</f>
        <v>17583691.090000093</v>
      </c>
      <c r="G5" s="31">
        <f>F25</f>
        <v>17761987.50031143</v>
      </c>
      <c r="H5" s="31">
        <f>F25</f>
        <v>17761987.50031143</v>
      </c>
      <c r="I5" s="31">
        <f>G25</f>
        <v>19556181.21726523</v>
      </c>
      <c r="J5" s="16"/>
      <c r="K5" s="32">
        <f>E5-D5</f>
        <v>0</v>
      </c>
      <c r="L5" s="33">
        <f>_xlfn.IFERROR(E5/D5,"")</f>
        <v>1</v>
      </c>
      <c r="M5" s="17"/>
      <c r="N5" s="32">
        <f>F5-D5</f>
        <v>0</v>
      </c>
      <c r="O5" s="33">
        <f>_xlfn.IFERROR(F5/D5,"")</f>
        <v>1</v>
      </c>
      <c r="P5" s="34"/>
      <c r="R5" s="108"/>
    </row>
    <row r="6" spans="1:15" s="18" customFormat="1" ht="15.75">
      <c r="A6" s="35" t="s">
        <v>5</v>
      </c>
      <c r="B6" s="36"/>
      <c r="C6" s="36"/>
      <c r="D6" s="37"/>
      <c r="E6" s="37"/>
      <c r="F6" s="38"/>
      <c r="G6" s="39"/>
      <c r="H6" s="39"/>
      <c r="I6" s="39"/>
      <c r="J6" s="16"/>
      <c r="K6" s="32"/>
      <c r="L6" s="40" t="str">
        <f>_xlfn.IFERROR(E6/D6,"")</f>
        <v/>
      </c>
      <c r="M6" s="17"/>
      <c r="N6" s="32"/>
      <c r="O6" s="40" t="str">
        <f aca="true" t="shared" si="0" ref="O6:O35">_xlfn.IFERROR(F6/D6,"")</f>
        <v/>
      </c>
    </row>
    <row r="7" spans="1:15" s="18" customFormat="1" ht="15.75">
      <c r="A7" s="41" t="s">
        <v>64</v>
      </c>
      <c r="B7" s="105">
        <v>69828346.4</v>
      </c>
      <c r="C7" s="104">
        <v>37555644</v>
      </c>
      <c r="D7" s="77"/>
      <c r="E7" s="77"/>
      <c r="F7" s="78">
        <f>C7+'1451 Fin Plan (model)'!D5</f>
        <v>78555644</v>
      </c>
      <c r="G7" s="79">
        <f>'1451 Fin Plan (model)'!E5+'1451 Fin Plan (model)'!F5</f>
        <v>89000000</v>
      </c>
      <c r="H7" s="79">
        <f>'1451 Fin Plan (model)'!H5+'1451 Fin Plan (model)'!G5</f>
        <v>99000000</v>
      </c>
      <c r="I7" s="79">
        <f>+'1451 Fin Plan (model)'!I5</f>
        <v>54000000</v>
      </c>
      <c r="J7" s="16"/>
      <c r="K7" s="43"/>
      <c r="L7" s="102"/>
      <c r="M7" s="17"/>
      <c r="N7" s="43"/>
      <c r="O7" s="102"/>
    </row>
    <row r="8" spans="1:15" s="18" customFormat="1" ht="15.75">
      <c r="A8" s="41" t="s">
        <v>7</v>
      </c>
      <c r="B8" s="105">
        <v>11847218.11</v>
      </c>
      <c r="C8" s="104">
        <v>5882421</v>
      </c>
      <c r="D8" s="77"/>
      <c r="E8" s="77"/>
      <c r="F8" s="78">
        <f>C8+'1451 Fin Plan (model)'!D6</f>
        <v>11382421</v>
      </c>
      <c r="G8" s="79">
        <f>'1451 Fin Plan (model)'!E6+'1451 Fin Plan (model)'!F6</f>
        <v>11165550</v>
      </c>
      <c r="H8" s="79">
        <f>'1451 Fin Plan (model)'!H6+'1451 Fin Plan (model)'!G6</f>
        <v>11389977.555</v>
      </c>
      <c r="I8" s="79">
        <f>+'1451 Fin Plan (model)'!I6</f>
        <v>5780555.275549999</v>
      </c>
      <c r="J8" s="16"/>
      <c r="K8" s="43"/>
      <c r="L8" s="102"/>
      <c r="M8" s="17"/>
      <c r="N8" s="43"/>
      <c r="O8" s="102"/>
    </row>
    <row r="9" spans="1:15" s="18" customFormat="1" ht="15.75">
      <c r="A9" s="41" t="s">
        <v>8</v>
      </c>
      <c r="B9" s="105">
        <v>2605417.2700000005</v>
      </c>
      <c r="C9" s="104">
        <v>1695000</v>
      </c>
      <c r="D9" s="77"/>
      <c r="E9" s="77"/>
      <c r="F9" s="78">
        <f>C9+'1451 Fin Plan (model)'!D7</f>
        <v>3435000</v>
      </c>
      <c r="G9" s="79">
        <f>'1451 Fin Plan (model)'!E7+'1451 Fin Plan (model)'!F7</f>
        <v>3632843.3399999994</v>
      </c>
      <c r="H9" s="79">
        <f>'1451 Fin Plan (model)'!H7+'1451 Fin Plan (model)'!G7</f>
        <v>3867324.7603939194</v>
      </c>
      <c r="I9" s="79">
        <f>+'1451 Fin Plan (model)'!I7</f>
        <v>2032828.6487333928</v>
      </c>
      <c r="J9" s="16"/>
      <c r="K9" s="43"/>
      <c r="L9" s="102"/>
      <c r="M9" s="17"/>
      <c r="N9" s="43"/>
      <c r="O9" s="102"/>
    </row>
    <row r="10" spans="1:15" s="18" customFormat="1" ht="15.75">
      <c r="A10" s="41" t="s">
        <v>9</v>
      </c>
      <c r="B10" s="105">
        <v>951624.45</v>
      </c>
      <c r="C10" s="105">
        <v>515000</v>
      </c>
      <c r="D10" s="77"/>
      <c r="E10" s="77"/>
      <c r="F10" s="78">
        <f>C10+'1451 Fin Plan (model)'!D8</f>
        <v>1043390</v>
      </c>
      <c r="G10" s="79">
        <f>'1451 Fin Plan (model)'!E8+'1451 Fin Plan (model)'!F8</f>
        <v>1097809.4835</v>
      </c>
      <c r="H10" s="79">
        <f>'1451 Fin Plan (model)'!H8+'1451 Fin Plan (model)'!G8</f>
        <v>1155094.8087334498</v>
      </c>
      <c r="I10" s="79">
        <f>+'1451 Fin Plan (model)'!I8</f>
        <v>601916.0317320366</v>
      </c>
      <c r="J10" s="16"/>
      <c r="K10" s="43"/>
      <c r="L10" s="102"/>
      <c r="M10" s="17"/>
      <c r="N10" s="43"/>
      <c r="O10" s="102"/>
    </row>
    <row r="11" spans="1:19" s="18" customFormat="1" ht="15.75">
      <c r="A11" s="50" t="s">
        <v>10</v>
      </c>
      <c r="B11" s="51">
        <f aca="true" t="shared" si="1" ref="B11:I11">SUM(B7:B10)</f>
        <v>85232606.23</v>
      </c>
      <c r="C11" s="51">
        <f t="shared" si="1"/>
        <v>45648065</v>
      </c>
      <c r="D11" s="52">
        <f t="shared" si="1"/>
        <v>0</v>
      </c>
      <c r="E11" s="52">
        <f t="shared" si="1"/>
        <v>0</v>
      </c>
      <c r="F11" s="53">
        <f t="shared" si="1"/>
        <v>94416455</v>
      </c>
      <c r="G11" s="51">
        <f t="shared" si="1"/>
        <v>104896202.8235</v>
      </c>
      <c r="H11" s="54">
        <f t="shared" si="1"/>
        <v>115412397.12412737</v>
      </c>
      <c r="I11" s="54">
        <f t="shared" si="1"/>
        <v>62415299.95601543</v>
      </c>
      <c r="J11" s="16"/>
      <c r="K11" s="43">
        <f>E11-D11</f>
        <v>0</v>
      </c>
      <c r="L11" s="44" t="str">
        <f aca="true" t="shared" si="2" ref="L11:L23">_xlfn.IFERROR(E11/D11,"")</f>
        <v/>
      </c>
      <c r="M11" s="17"/>
      <c r="N11" s="43">
        <f>F11-D11</f>
        <v>94416455</v>
      </c>
      <c r="O11" s="44" t="str">
        <f t="shared" si="0"/>
        <v/>
      </c>
      <c r="P11" s="45"/>
      <c r="Q11" s="45"/>
      <c r="R11" s="45"/>
      <c r="S11" s="46"/>
    </row>
    <row r="12" spans="1:19" s="18" customFormat="1" ht="15.75">
      <c r="A12" s="35" t="s">
        <v>36</v>
      </c>
      <c r="B12" s="42"/>
      <c r="C12" s="42"/>
      <c r="D12" s="55"/>
      <c r="E12" s="55"/>
      <c r="F12" s="56"/>
      <c r="G12" s="57"/>
      <c r="H12" s="57"/>
      <c r="I12" s="57"/>
      <c r="J12" s="17"/>
      <c r="K12" s="32"/>
      <c r="L12" s="58" t="str">
        <f t="shared" si="2"/>
        <v/>
      </c>
      <c r="M12" s="17"/>
      <c r="N12" s="32"/>
      <c r="O12" s="58" t="str">
        <f t="shared" si="0"/>
        <v/>
      </c>
      <c r="P12" s="45"/>
      <c r="Q12" s="45"/>
      <c r="R12" s="45"/>
      <c r="S12" s="46"/>
    </row>
    <row r="13" spans="1:19" s="18" customFormat="1" ht="15.75">
      <c r="A13" s="86" t="s">
        <v>48</v>
      </c>
      <c r="B13" s="42">
        <v>-77868318.05999991</v>
      </c>
      <c r="C13" s="42">
        <v>-46033770</v>
      </c>
      <c r="D13" s="47"/>
      <c r="E13" s="47"/>
      <c r="F13" s="48">
        <f>C13+'1451 Fin Plan (model)'!D11+'1451 Fin Plan (model)'!D12</f>
        <v>-94137295.67335649</v>
      </c>
      <c r="G13" s="79">
        <f>'1451 Fin Plan (model)'!E11+'1451 Fin Plan (model)'!F11+'1451 Fin Plan (model)'!E12+'1451 Fin Plan (model)'!F12</f>
        <v>-103178200.87046969</v>
      </c>
      <c r="H13" s="79">
        <f>'1451 Fin Plan (model)'!H11+'1451 Fin Plan (model)'!G11+'1451 Fin Plan (model)'!H12+'1451 Fin Plan (model)'!G12</f>
        <v>-113591658.46666762</v>
      </c>
      <c r="I13" s="79">
        <f>+'1451 Fin Plan (model)'!I11+'1451 Fin Plan (model)'!I12</f>
        <v>-61174108.02993141</v>
      </c>
      <c r="J13" s="17"/>
      <c r="K13" s="43"/>
      <c r="L13" s="103"/>
      <c r="M13" s="17"/>
      <c r="N13" s="43"/>
      <c r="O13" s="103"/>
      <c r="P13" s="45"/>
      <c r="Q13" s="45"/>
      <c r="R13" s="45"/>
      <c r="S13" s="46"/>
    </row>
    <row r="14" spans="1:19" s="18" customFormat="1" ht="15.75">
      <c r="A14" s="86" t="s">
        <v>8</v>
      </c>
      <c r="B14" s="42">
        <v>-2605417.2700000005</v>
      </c>
      <c r="C14" s="42">
        <v>-1695000</v>
      </c>
      <c r="D14" s="47"/>
      <c r="E14" s="47"/>
      <c r="F14" s="48">
        <f>C14+'1451 Fin Plan (model)'!D13</f>
        <v>-3435000</v>
      </c>
      <c r="G14" s="79">
        <f>'1451 Fin Plan (model)'!E13+'1451 Fin Plan (model)'!F13</f>
        <v>-3632843.3399999994</v>
      </c>
      <c r="H14" s="79">
        <f>'1451 Fin Plan (model)'!H13+'1451 Fin Plan (model)'!G13</f>
        <v>-3867324.7603939194</v>
      </c>
      <c r="I14" s="79">
        <f>+'1451 Fin Plan (model)'!I13</f>
        <v>-2032828.6487333928</v>
      </c>
      <c r="J14" s="17"/>
      <c r="K14" s="43"/>
      <c r="L14" s="103"/>
      <c r="M14" s="17"/>
      <c r="N14" s="43"/>
      <c r="O14" s="103"/>
      <c r="P14" s="45"/>
      <c r="Q14" s="45"/>
      <c r="R14" s="45"/>
      <c r="S14" s="46"/>
    </row>
    <row r="15" spans="1:19" s="18" customFormat="1" ht="15.75">
      <c r="A15" s="86" t="s">
        <v>49</v>
      </c>
      <c r="B15" s="105">
        <v>-1765095.8100000008</v>
      </c>
      <c r="C15" s="42">
        <v>-1004234</v>
      </c>
      <c r="D15" s="47"/>
      <c r="E15" s="47"/>
      <c r="F15" s="48">
        <f>C15</f>
        <v>-1004234</v>
      </c>
      <c r="G15" s="49">
        <v>0</v>
      </c>
      <c r="H15" s="49">
        <v>0</v>
      </c>
      <c r="I15" s="49">
        <v>0</v>
      </c>
      <c r="J15" s="17"/>
      <c r="K15" s="43"/>
      <c r="L15" s="103"/>
      <c r="M15" s="17"/>
      <c r="N15" s="43"/>
      <c r="O15" s="103"/>
      <c r="P15" s="45"/>
      <c r="Q15" s="45"/>
      <c r="R15" s="45"/>
      <c r="S15" s="46"/>
    </row>
    <row r="16" spans="1:19" s="18" customFormat="1" ht="15.75">
      <c r="A16" s="86" t="s">
        <v>69</v>
      </c>
      <c r="B16" s="105">
        <v>0</v>
      </c>
      <c r="C16" s="42">
        <v>0</v>
      </c>
      <c r="D16" s="47"/>
      <c r="E16" s="47"/>
      <c r="F16" s="48">
        <f>C16+'1451 Fin Plan (model)'!D14</f>
        <v>-1000000</v>
      </c>
      <c r="G16" s="49">
        <f>'1451 Fin Plan (model)'!E14+'1451 Fin Plan (model)'!F14</f>
        <v>-2000000</v>
      </c>
      <c r="H16" s="49">
        <f>'1451 Fin Plan (model)'!G14+'1451 Fin Plan (model)'!H14</f>
        <v>-2000000</v>
      </c>
      <c r="I16" s="49">
        <f>'1451 Fin Plan (model)'!I14</f>
        <v>-1000000</v>
      </c>
      <c r="J16" s="17"/>
      <c r="K16" s="43"/>
      <c r="L16" s="103"/>
      <c r="M16" s="17"/>
      <c r="N16" s="43"/>
      <c r="O16" s="103"/>
      <c r="P16" s="45"/>
      <c r="Q16" s="45"/>
      <c r="R16" s="45"/>
      <c r="S16" s="46"/>
    </row>
    <row r="17" spans="1:19" s="18" customFormat="1" ht="15.75">
      <c r="A17" s="86" t="s">
        <v>50</v>
      </c>
      <c r="B17" s="105">
        <v>-200000</v>
      </c>
      <c r="C17" s="42">
        <v>-100000</v>
      </c>
      <c r="D17" s="47"/>
      <c r="E17" s="47"/>
      <c r="F17" s="48">
        <f>C17+'1451 Fin Plan (model)'!D15</f>
        <v>-200000</v>
      </c>
      <c r="G17" s="49">
        <f>'1451 Fin Plan (model)'!E15+'1451 Fin Plan (model)'!F15</f>
        <v>-207765</v>
      </c>
      <c r="H17" s="49">
        <f>'1451 Fin Plan (model)'!G15+'1451 Fin Plan (model)'!H15</f>
        <v>-218606.48549999995</v>
      </c>
      <c r="I17" s="49">
        <f>'1451 Fin Plan (model)'!I15</f>
        <v>-113915.10659399997</v>
      </c>
      <c r="J17" s="17"/>
      <c r="K17" s="43"/>
      <c r="L17" s="103"/>
      <c r="M17" s="17"/>
      <c r="N17" s="43"/>
      <c r="O17" s="103"/>
      <c r="P17" s="45"/>
      <c r="Q17" s="45"/>
      <c r="R17" s="45"/>
      <c r="S17" s="46"/>
    </row>
    <row r="18" spans="1:19" s="18" customFormat="1" ht="15.75">
      <c r="A18" s="86" t="s">
        <v>52</v>
      </c>
      <c r="B18" s="105">
        <v>0</v>
      </c>
      <c r="C18" s="42">
        <v>0</v>
      </c>
      <c r="D18" s="47"/>
      <c r="E18" s="47"/>
      <c r="F18" s="48">
        <v>-100000</v>
      </c>
      <c r="G18" s="49">
        <f>G17</f>
        <v>-207765</v>
      </c>
      <c r="H18" s="49">
        <f>H17</f>
        <v>-218606.48549999995</v>
      </c>
      <c r="I18" s="49">
        <f>I17</f>
        <v>-113915.10659399997</v>
      </c>
      <c r="J18" s="17"/>
      <c r="K18" s="43"/>
      <c r="L18" s="103"/>
      <c r="M18" s="17"/>
      <c r="N18" s="43"/>
      <c r="O18" s="103"/>
      <c r="P18" s="45"/>
      <c r="Q18" s="45"/>
      <c r="R18" s="45"/>
      <c r="S18" s="46"/>
    </row>
    <row r="19" spans="1:15" s="18" customFormat="1" ht="15.75">
      <c r="A19" s="41" t="s">
        <v>51</v>
      </c>
      <c r="B19" s="42">
        <v>0</v>
      </c>
      <c r="C19" s="42">
        <v>339234</v>
      </c>
      <c r="D19" s="47"/>
      <c r="E19" s="47"/>
      <c r="F19" s="48">
        <f>C19*2</f>
        <v>678468</v>
      </c>
      <c r="G19" s="49">
        <f>F19*1.029</f>
        <v>698143.5719999999</v>
      </c>
      <c r="H19" s="49">
        <f>G19*1.029</f>
        <v>718389.7355879999</v>
      </c>
      <c r="I19" s="49">
        <f>H19*1.029/2</f>
        <v>369611.5189600259</v>
      </c>
      <c r="J19" s="17"/>
      <c r="K19" s="43">
        <f>E19-D19</f>
        <v>0</v>
      </c>
      <c r="L19" s="59" t="str">
        <f t="shared" si="2"/>
        <v/>
      </c>
      <c r="M19" s="17"/>
      <c r="N19" s="43">
        <f>F19-D19</f>
        <v>678468</v>
      </c>
      <c r="O19" s="59" t="str">
        <f t="shared" si="0"/>
        <v/>
      </c>
    </row>
    <row r="20" spans="1:15" s="18" customFormat="1" ht="15.75">
      <c r="A20" s="50" t="s">
        <v>16</v>
      </c>
      <c r="B20" s="54">
        <f>SUM(B13:B19)</f>
        <v>-82438831.13999991</v>
      </c>
      <c r="C20" s="54">
        <f>SUM(C13:C19)</f>
        <v>-48493770</v>
      </c>
      <c r="D20" s="60">
        <f aca="true" t="shared" si="3" ref="D20:I20">SUM(D13:D19)</f>
        <v>0</v>
      </c>
      <c r="E20" s="60">
        <f t="shared" si="3"/>
        <v>0</v>
      </c>
      <c r="F20" s="61">
        <f t="shared" si="3"/>
        <v>-99198061.67335649</v>
      </c>
      <c r="G20" s="54">
        <f t="shared" si="3"/>
        <v>-108528430.6384697</v>
      </c>
      <c r="H20" s="54">
        <f t="shared" si="3"/>
        <v>-119177806.46247353</v>
      </c>
      <c r="I20" s="54">
        <f t="shared" si="3"/>
        <v>-64065155.37289277</v>
      </c>
      <c r="J20" s="16"/>
      <c r="K20" s="43">
        <f>E20-D20</f>
        <v>0</v>
      </c>
      <c r="L20" s="62" t="str">
        <f t="shared" si="2"/>
        <v/>
      </c>
      <c r="M20" s="17"/>
      <c r="N20" s="43">
        <f>F20-D20</f>
        <v>-99198061.67335649</v>
      </c>
      <c r="O20" s="62" t="str">
        <f t="shared" si="0"/>
        <v/>
      </c>
    </row>
    <row r="21" spans="1:15" s="18" customFormat="1" ht="18">
      <c r="A21" s="63" t="s">
        <v>37</v>
      </c>
      <c r="B21" s="64"/>
      <c r="C21" s="64">
        <f>-5%*C20</f>
        <v>2424688.5</v>
      </c>
      <c r="D21" s="64">
        <f aca="true" t="shared" si="4" ref="D21:E21">-5%*D20</f>
        <v>0</v>
      </c>
      <c r="E21" s="64">
        <f t="shared" si="4"/>
        <v>0</v>
      </c>
      <c r="F21" s="64">
        <f>-5%*F20</f>
        <v>4959903.083667825</v>
      </c>
      <c r="G21" s="64">
        <f aca="true" t="shared" si="5" ref="G21:I21">-5%*G20</f>
        <v>5426421.531923485</v>
      </c>
      <c r="H21" s="64">
        <f t="shared" si="5"/>
        <v>5958890.323123677</v>
      </c>
      <c r="I21" s="64">
        <f t="shared" si="5"/>
        <v>3203257.7686446384</v>
      </c>
      <c r="J21" s="17"/>
      <c r="K21" s="65">
        <f>E21-D21</f>
        <v>0</v>
      </c>
      <c r="L21" s="66" t="str">
        <f t="shared" si="2"/>
        <v/>
      </c>
      <c r="M21" s="17"/>
      <c r="N21" s="65">
        <f>F21-D21</f>
        <v>4959903.083667825</v>
      </c>
      <c r="O21" s="66" t="str">
        <f t="shared" si="0"/>
        <v/>
      </c>
    </row>
    <row r="22" spans="1:15" s="18" customFormat="1" ht="15.75">
      <c r="A22" s="35" t="s">
        <v>38</v>
      </c>
      <c r="B22" s="67"/>
      <c r="C22" s="67"/>
      <c r="D22" s="47"/>
      <c r="E22" s="47"/>
      <c r="F22" s="48"/>
      <c r="G22" s="49"/>
      <c r="H22" s="49"/>
      <c r="I22" s="49"/>
      <c r="J22" s="17"/>
      <c r="K22" s="32"/>
      <c r="L22" s="58" t="str">
        <f t="shared" si="2"/>
        <v/>
      </c>
      <c r="M22" s="17"/>
      <c r="N22" s="32"/>
      <c r="O22" s="58" t="str">
        <f t="shared" si="0"/>
        <v/>
      </c>
    </row>
    <row r="23" spans="1:15" s="18" customFormat="1" ht="15.75">
      <c r="A23" s="68"/>
      <c r="B23" s="42"/>
      <c r="C23" s="42"/>
      <c r="D23" s="69"/>
      <c r="E23" s="69"/>
      <c r="F23" s="70"/>
      <c r="G23" s="42"/>
      <c r="H23" s="71"/>
      <c r="I23" s="71"/>
      <c r="J23" s="17"/>
      <c r="K23" s="43">
        <f>E23-D23</f>
        <v>0</v>
      </c>
      <c r="L23" s="59" t="str">
        <f t="shared" si="2"/>
        <v/>
      </c>
      <c r="M23" s="17"/>
      <c r="N23" s="43">
        <f>F23-D23</f>
        <v>0</v>
      </c>
      <c r="O23" s="59" t="str">
        <f t="shared" si="0"/>
        <v/>
      </c>
    </row>
    <row r="24" spans="1:15" s="18" customFormat="1" ht="15.75">
      <c r="A24" s="35" t="s">
        <v>39</v>
      </c>
      <c r="B24" s="54">
        <f aca="true" t="shared" si="6" ref="B24:I24">SUM(B23:B23)</f>
        <v>0</v>
      </c>
      <c r="C24" s="54">
        <f t="shared" si="6"/>
        <v>0</v>
      </c>
      <c r="D24" s="60">
        <f t="shared" si="6"/>
        <v>0</v>
      </c>
      <c r="E24" s="60">
        <f t="shared" si="6"/>
        <v>0</v>
      </c>
      <c r="F24" s="61">
        <f t="shared" si="6"/>
        <v>0</v>
      </c>
      <c r="G24" s="54">
        <f t="shared" si="6"/>
        <v>0</v>
      </c>
      <c r="H24" s="54">
        <f t="shared" si="6"/>
        <v>0</v>
      </c>
      <c r="I24" s="54">
        <f t="shared" si="6"/>
        <v>0</v>
      </c>
      <c r="J24" s="16"/>
      <c r="K24" s="72">
        <f>E24-D24</f>
        <v>0</v>
      </c>
      <c r="L24" s="62" t="str">
        <f aca="true" t="shared" si="7" ref="L24:L35">_xlfn.IFERROR(E24/D24,"")</f>
        <v/>
      </c>
      <c r="M24" s="17"/>
      <c r="N24" s="72">
        <f>F24-D24</f>
        <v>0</v>
      </c>
      <c r="O24" s="62" t="str">
        <f t="shared" si="0"/>
        <v/>
      </c>
    </row>
    <row r="25" spans="1:15" s="18" customFormat="1" ht="15.75">
      <c r="A25" s="63" t="s">
        <v>18</v>
      </c>
      <c r="B25" s="73">
        <f aca="true" t="shared" si="8" ref="B25:I25">B5+B11+B20+B21+B24</f>
        <v>17583691.090000093</v>
      </c>
      <c r="C25" s="73">
        <f t="shared" si="8"/>
        <v>14256739.014604792</v>
      </c>
      <c r="D25" s="74">
        <f t="shared" si="8"/>
        <v>17583691.090000093</v>
      </c>
      <c r="E25" s="74">
        <f t="shared" si="8"/>
        <v>17583691.090000093</v>
      </c>
      <c r="F25" s="75">
        <f t="shared" si="8"/>
        <v>17761987.50031143</v>
      </c>
      <c r="G25" s="73">
        <f t="shared" si="8"/>
        <v>19556181.21726523</v>
      </c>
      <c r="H25" s="73">
        <f t="shared" si="8"/>
        <v>19955468.48508896</v>
      </c>
      <c r="I25" s="73">
        <f t="shared" si="8"/>
        <v>21109583.569032528</v>
      </c>
      <c r="J25" s="16"/>
      <c r="K25" s="65">
        <f>E25-D25</f>
        <v>0</v>
      </c>
      <c r="L25" s="66">
        <f t="shared" si="7"/>
        <v>1</v>
      </c>
      <c r="M25" s="17"/>
      <c r="N25" s="65">
        <f>F25-D25</f>
        <v>178296.41031133756</v>
      </c>
      <c r="O25" s="66">
        <f t="shared" si="0"/>
        <v>1.0101398738978493</v>
      </c>
    </row>
    <row r="26" spans="1:15" s="18" customFormat="1" ht="15.75">
      <c r="A26" s="35" t="s">
        <v>40</v>
      </c>
      <c r="B26" s="76"/>
      <c r="C26" s="76"/>
      <c r="D26" s="77"/>
      <c r="E26" s="77"/>
      <c r="F26" s="78"/>
      <c r="G26" s="79"/>
      <c r="H26" s="79"/>
      <c r="I26" s="79"/>
      <c r="J26" s="16"/>
      <c r="K26" s="32"/>
      <c r="L26" s="80" t="str">
        <f t="shared" si="7"/>
        <v/>
      </c>
      <c r="M26" s="17"/>
      <c r="N26" s="32"/>
      <c r="O26" s="80" t="str">
        <f t="shared" si="0"/>
        <v/>
      </c>
    </row>
    <row r="27" spans="1:15" s="18" customFormat="1" ht="15.75">
      <c r="A27" s="41" t="s">
        <v>21</v>
      </c>
      <c r="B27" s="81">
        <f>(1/8)*B20</f>
        <v>-10304853.892499989</v>
      </c>
      <c r="C27" s="81">
        <f>25%*C20</f>
        <v>-12123442.5</v>
      </c>
      <c r="D27" s="82"/>
      <c r="E27" s="82"/>
      <c r="F27" s="49">
        <f>(1/8)*F20</f>
        <v>-12399757.709169561</v>
      </c>
      <c r="G27" s="49">
        <f aca="true" t="shared" si="9" ref="G27">(1/8)*G20</f>
        <v>-13566053.829808712</v>
      </c>
      <c r="H27" s="49">
        <f>(1/8)*H20</f>
        <v>-14897225.80780919</v>
      </c>
      <c r="I27" s="49">
        <f>25%*I20</f>
        <v>-16016288.843223192</v>
      </c>
      <c r="J27" s="17"/>
      <c r="K27" s="43">
        <f>E27-D27</f>
        <v>0</v>
      </c>
      <c r="L27" s="44" t="str">
        <f t="shared" si="7"/>
        <v/>
      </c>
      <c r="M27" s="17"/>
      <c r="N27" s="43">
        <f>F27-D27</f>
        <v>-12399757.709169561</v>
      </c>
      <c r="O27" s="44" t="str">
        <f t="shared" si="0"/>
        <v/>
      </c>
    </row>
    <row r="28" spans="1:15" s="18" customFormat="1" ht="15.75">
      <c r="A28" s="41" t="s">
        <v>57</v>
      </c>
      <c r="B28" s="49">
        <v>0</v>
      </c>
      <c r="C28" s="49">
        <v>0</v>
      </c>
      <c r="D28" s="47"/>
      <c r="E28" s="47"/>
      <c r="F28" s="48">
        <f>4%*F20</f>
        <v>-3967922.4669342595</v>
      </c>
      <c r="G28" s="48">
        <f aca="true" t="shared" si="10" ref="G28:I28">4%*G20</f>
        <v>-4341137.225538788</v>
      </c>
      <c r="H28" s="48">
        <f t="shared" si="10"/>
        <v>-4767112.258498942</v>
      </c>
      <c r="I28" s="48">
        <f t="shared" si="10"/>
        <v>-2562606.214915711</v>
      </c>
      <c r="J28" s="17"/>
      <c r="K28" s="43"/>
      <c r="L28" s="44"/>
      <c r="M28" s="17"/>
      <c r="N28" s="43"/>
      <c r="O28" s="44"/>
    </row>
    <row r="29" spans="1:15" s="18" customFormat="1" ht="15.75">
      <c r="A29" s="41" t="s">
        <v>56</v>
      </c>
      <c r="B29" s="49">
        <v>0</v>
      </c>
      <c r="C29" s="49">
        <v>-1133296.21</v>
      </c>
      <c r="D29" s="47"/>
      <c r="E29" s="47"/>
      <c r="F29" s="48">
        <f>-SUM(F25:F28)</f>
        <v>-1394307.32420761</v>
      </c>
      <c r="G29" s="48">
        <f aca="true" t="shared" si="11" ref="G29:I29">-SUM(G25:G28)</f>
        <v>-1648990.1619177293</v>
      </c>
      <c r="H29" s="48">
        <f t="shared" si="11"/>
        <v>-291130.41878082696</v>
      </c>
      <c r="I29" s="48">
        <f t="shared" si="11"/>
        <v>-2530688.5108936247</v>
      </c>
      <c r="J29" s="17"/>
      <c r="K29" s="43">
        <f>E29-D29</f>
        <v>0</v>
      </c>
      <c r="L29" s="44" t="str">
        <f>_xlfn.IFERROR(E29/D29,"")</f>
        <v/>
      </c>
      <c r="M29" s="17"/>
      <c r="N29" s="43">
        <f>F29-D29</f>
        <v>-1394307.32420761</v>
      </c>
      <c r="O29" s="44" t="str">
        <f>_xlfn.IFERROR(F29/D29,"")</f>
        <v/>
      </c>
    </row>
    <row r="30" spans="1:15" s="18" customFormat="1" ht="15.75">
      <c r="A30" s="41" t="s">
        <v>53</v>
      </c>
      <c r="B30" s="49">
        <v>-1000000</v>
      </c>
      <c r="C30" s="49">
        <v>-1000000</v>
      </c>
      <c r="D30" s="47"/>
      <c r="E30" s="47"/>
      <c r="F30" s="48">
        <v>0</v>
      </c>
      <c r="G30" s="48">
        <v>0</v>
      </c>
      <c r="H30" s="48">
        <v>0</v>
      </c>
      <c r="I30" s="48">
        <v>0</v>
      </c>
      <c r="J30" s="17"/>
      <c r="K30" s="43">
        <f>E30-D30</f>
        <v>0</v>
      </c>
      <c r="L30" s="44" t="str">
        <f t="shared" si="7"/>
        <v/>
      </c>
      <c r="M30" s="17"/>
      <c r="N30" s="43">
        <f>F30-D30</f>
        <v>0</v>
      </c>
      <c r="O30" s="44" t="str">
        <f t="shared" si="0"/>
        <v/>
      </c>
    </row>
    <row r="31" spans="1:15" s="18" customFormat="1" ht="15.75">
      <c r="A31" s="35" t="s">
        <v>41</v>
      </c>
      <c r="B31" s="83">
        <f aca="true" t="shared" si="12" ref="B31:I31">SUM(B27:B30)</f>
        <v>-11304853.892499989</v>
      </c>
      <c r="C31" s="83">
        <f t="shared" si="12"/>
        <v>-14256738.71</v>
      </c>
      <c r="D31" s="84">
        <f t="shared" si="12"/>
        <v>0</v>
      </c>
      <c r="E31" s="84">
        <f t="shared" si="12"/>
        <v>0</v>
      </c>
      <c r="F31" s="85">
        <f t="shared" si="12"/>
        <v>-17761987.50031143</v>
      </c>
      <c r="G31" s="83">
        <f t="shared" si="12"/>
        <v>-19556181.217265233</v>
      </c>
      <c r="H31" s="83">
        <f t="shared" si="12"/>
        <v>-19955468.48508896</v>
      </c>
      <c r="I31" s="83">
        <f t="shared" si="12"/>
        <v>-21109583.569032528</v>
      </c>
      <c r="J31" s="16"/>
      <c r="K31" s="43">
        <f>E31-D31</f>
        <v>0</v>
      </c>
      <c r="L31" s="44" t="str">
        <f t="shared" si="7"/>
        <v/>
      </c>
      <c r="M31" s="17"/>
      <c r="N31" s="43">
        <f>F31-D31</f>
        <v>-17761987.50031143</v>
      </c>
      <c r="O31" s="44" t="str">
        <f t="shared" si="0"/>
        <v/>
      </c>
    </row>
    <row r="32" spans="1:15" s="18" customFormat="1" ht="9" customHeight="1">
      <c r="A32" s="86"/>
      <c r="B32" s="87"/>
      <c r="C32" s="87"/>
      <c r="D32" s="84"/>
      <c r="E32" s="84"/>
      <c r="F32" s="85"/>
      <c r="G32" s="83"/>
      <c r="H32" s="83"/>
      <c r="I32" s="83"/>
      <c r="J32" s="16"/>
      <c r="K32" s="43"/>
      <c r="L32" s="80" t="str">
        <f t="shared" si="7"/>
        <v/>
      </c>
      <c r="M32" s="17"/>
      <c r="N32" s="43"/>
      <c r="O32" s="80" t="str">
        <f t="shared" si="0"/>
        <v/>
      </c>
    </row>
    <row r="33" spans="1:15" s="18" customFormat="1" ht="15.75">
      <c r="A33" s="86" t="s">
        <v>42</v>
      </c>
      <c r="B33" s="79">
        <f aca="true" t="shared" si="13" ref="B33:G33">ABS(IF(ROUND(B25+B31,2)&gt;0,0,ROUND(B25+B31,2)))</f>
        <v>0</v>
      </c>
      <c r="C33" s="79">
        <f t="shared" si="13"/>
        <v>0</v>
      </c>
      <c r="D33" s="79">
        <f t="shared" si="13"/>
        <v>0</v>
      </c>
      <c r="E33" s="79">
        <f t="shared" si="13"/>
        <v>0</v>
      </c>
      <c r="F33" s="79">
        <f t="shared" si="13"/>
        <v>0</v>
      </c>
      <c r="G33" s="79">
        <f t="shared" si="13"/>
        <v>0</v>
      </c>
      <c r="H33" s="79">
        <f>ABS(IF(ROUND(H25+H31,2)&gt;0,0,ROUND(H25+H31,2)))</f>
        <v>0</v>
      </c>
      <c r="I33" s="79">
        <f aca="true" t="shared" si="14" ref="I33">ABS(IF(ROUND(I25+I31,2)&gt;0,0,ROUND(I25+I31,2)))</f>
        <v>0</v>
      </c>
      <c r="J33" s="16"/>
      <c r="K33" s="43">
        <f>E33-D33</f>
        <v>0</v>
      </c>
      <c r="L33" s="44" t="str">
        <f t="shared" si="7"/>
        <v/>
      </c>
      <c r="M33" s="17"/>
      <c r="N33" s="43">
        <f>F33-D33</f>
        <v>0</v>
      </c>
      <c r="O33" s="44" t="str">
        <f t="shared" si="0"/>
        <v/>
      </c>
    </row>
    <row r="34" spans="1:15" s="18" customFormat="1" ht="7.5" customHeight="1">
      <c r="A34" s="50"/>
      <c r="B34" s="88"/>
      <c r="C34" s="88"/>
      <c r="D34" s="89"/>
      <c r="E34" s="89"/>
      <c r="F34" s="90"/>
      <c r="G34" s="91"/>
      <c r="H34" s="91"/>
      <c r="I34" s="91"/>
      <c r="J34" s="16"/>
      <c r="K34" s="72"/>
      <c r="L34" s="80" t="str">
        <f t="shared" si="7"/>
        <v/>
      </c>
      <c r="M34" s="17"/>
      <c r="N34" s="72"/>
      <c r="O34" s="80" t="str">
        <f t="shared" si="0"/>
        <v/>
      </c>
    </row>
    <row r="35" spans="1:15" s="18" customFormat="1" ht="15.75">
      <c r="A35" s="63" t="s">
        <v>43</v>
      </c>
      <c r="B35" s="92">
        <f aca="true" t="shared" si="15" ref="B35:I35">ROUND(B25+B31+B33,0)</f>
        <v>6278837</v>
      </c>
      <c r="C35" s="92">
        <f t="shared" si="15"/>
        <v>0</v>
      </c>
      <c r="D35" s="93">
        <f t="shared" si="15"/>
        <v>17583691</v>
      </c>
      <c r="E35" s="93">
        <f t="shared" si="15"/>
        <v>17583691</v>
      </c>
      <c r="F35" s="94">
        <f t="shared" si="15"/>
        <v>0</v>
      </c>
      <c r="G35" s="92">
        <f t="shared" si="15"/>
        <v>0</v>
      </c>
      <c r="H35" s="92">
        <f>ROUND(H25+H31+H33,0)</f>
        <v>0</v>
      </c>
      <c r="I35" s="92">
        <f t="shared" si="15"/>
        <v>0</v>
      </c>
      <c r="J35" s="16"/>
      <c r="K35" s="65">
        <f>E35-D35</f>
        <v>0</v>
      </c>
      <c r="L35" s="95">
        <f t="shared" si="7"/>
        <v>1</v>
      </c>
      <c r="M35" s="17"/>
      <c r="N35" s="65">
        <f>F35-D35</f>
        <v>-17583691</v>
      </c>
      <c r="O35" s="95">
        <f t="shared" si="0"/>
        <v>0</v>
      </c>
    </row>
    <row r="36" spans="1:10" s="18" customFormat="1" ht="12.75">
      <c r="A36" s="96"/>
      <c r="B36" s="96"/>
      <c r="C36" s="96"/>
      <c r="D36" s="96"/>
      <c r="E36" s="96"/>
      <c r="F36" s="96"/>
      <c r="G36" s="96"/>
      <c r="H36" s="96"/>
      <c r="I36" s="96"/>
      <c r="J36" s="96"/>
    </row>
    <row r="37" spans="1:24" ht="15.75">
      <c r="A37" s="97" t="s">
        <v>44</v>
      </c>
      <c r="B37" s="98"/>
      <c r="C37" s="98"/>
      <c r="D37" s="99"/>
      <c r="E37" s="99"/>
      <c r="F37" s="99"/>
      <c r="G37" s="99"/>
      <c r="H37" s="99"/>
      <c r="I37" s="99"/>
      <c r="K37" s="18"/>
      <c r="L37" s="18"/>
      <c r="M37" s="18"/>
      <c r="N37" s="18"/>
      <c r="O37" s="18"/>
      <c r="P37" s="18"/>
      <c r="Q37" s="100"/>
      <c r="R37" s="18"/>
      <c r="S37" s="18"/>
      <c r="T37" s="18"/>
      <c r="U37" s="18"/>
      <c r="V37" s="18"/>
      <c r="W37" s="18"/>
      <c r="X37" s="18"/>
    </row>
    <row r="38" spans="1:24" ht="45.75" customHeight="1">
      <c r="A38" s="119" t="s">
        <v>73</v>
      </c>
      <c r="B38" s="120"/>
      <c r="C38" s="120"/>
      <c r="D38" s="120"/>
      <c r="E38" s="120"/>
      <c r="F38" s="120"/>
      <c r="G38" s="120"/>
      <c r="H38" s="120"/>
      <c r="I38" s="120"/>
      <c r="K38" s="18"/>
      <c r="L38" s="18"/>
      <c r="M38" s="18"/>
      <c r="N38" s="18"/>
      <c r="O38" s="18"/>
      <c r="P38" s="18"/>
      <c r="Q38" s="100"/>
      <c r="R38" s="18"/>
      <c r="S38" s="18"/>
      <c r="T38" s="18"/>
      <c r="U38" s="18"/>
      <c r="V38" s="18"/>
      <c r="W38" s="18"/>
      <c r="X38" s="18"/>
    </row>
    <row r="39" spans="1:24" ht="17.25" customHeight="1">
      <c r="A39" s="111" t="s">
        <v>45</v>
      </c>
      <c r="B39" s="111"/>
      <c r="C39" s="111"/>
      <c r="D39" s="111"/>
      <c r="E39" s="111"/>
      <c r="F39" s="111"/>
      <c r="G39" s="111"/>
      <c r="H39" s="111"/>
      <c r="I39" s="111"/>
      <c r="K39" s="18"/>
      <c r="L39" s="18"/>
      <c r="M39" s="18"/>
      <c r="N39" s="18"/>
      <c r="O39" s="18"/>
      <c r="P39" s="18"/>
      <c r="Q39" s="109"/>
      <c r="R39" s="114"/>
      <c r="S39" s="114"/>
      <c r="T39" s="114"/>
      <c r="U39" s="114"/>
      <c r="V39" s="114"/>
      <c r="W39" s="114"/>
      <c r="X39" s="114"/>
    </row>
    <row r="40" spans="1:24" ht="16.5" customHeight="1">
      <c r="A40" s="110" t="s">
        <v>72</v>
      </c>
      <c r="B40" s="110"/>
      <c r="C40" s="110"/>
      <c r="D40" s="110"/>
      <c r="E40" s="110"/>
      <c r="F40" s="110"/>
      <c r="G40" s="110"/>
      <c r="H40" s="110"/>
      <c r="I40" s="110"/>
      <c r="K40" s="18"/>
      <c r="L40" s="18"/>
      <c r="M40" s="18"/>
      <c r="N40" s="18"/>
      <c r="O40" s="18"/>
      <c r="P40" s="18"/>
      <c r="Q40" s="109"/>
      <c r="R40" s="114"/>
      <c r="S40" s="114"/>
      <c r="T40" s="114"/>
      <c r="U40" s="114"/>
      <c r="V40" s="114"/>
      <c r="W40" s="114"/>
      <c r="X40" s="114"/>
    </row>
    <row r="41" spans="1:24" ht="31.5" customHeight="1">
      <c r="A41" s="110" t="s">
        <v>54</v>
      </c>
      <c r="B41" s="110"/>
      <c r="C41" s="110"/>
      <c r="D41" s="110"/>
      <c r="E41" s="110"/>
      <c r="F41" s="110"/>
      <c r="G41" s="110"/>
      <c r="H41" s="110"/>
      <c r="I41" s="110"/>
      <c r="K41" s="18"/>
      <c r="L41" s="18"/>
      <c r="M41" s="18"/>
      <c r="N41" s="18"/>
      <c r="O41" s="18"/>
      <c r="P41" s="18"/>
      <c r="Q41" s="109"/>
      <c r="R41" s="114"/>
      <c r="S41" s="114"/>
      <c r="T41" s="114"/>
      <c r="U41" s="114"/>
      <c r="V41" s="114"/>
      <c r="W41" s="114"/>
      <c r="X41" s="114"/>
    </row>
    <row r="42" spans="1:24" ht="46.5" customHeight="1">
      <c r="A42" s="110" t="s">
        <v>55</v>
      </c>
      <c r="B42" s="110"/>
      <c r="C42" s="110"/>
      <c r="D42" s="110"/>
      <c r="E42" s="110"/>
      <c r="F42" s="110"/>
      <c r="G42" s="110"/>
      <c r="H42" s="110"/>
      <c r="I42" s="110"/>
      <c r="K42" s="18"/>
      <c r="L42" s="18"/>
      <c r="M42" s="18"/>
      <c r="N42" s="18"/>
      <c r="O42" s="18"/>
      <c r="P42" s="18"/>
      <c r="Q42" s="101"/>
      <c r="R42" s="18"/>
      <c r="S42" s="18"/>
      <c r="T42" s="18"/>
      <c r="U42" s="18"/>
      <c r="V42" s="18"/>
      <c r="W42" s="18"/>
      <c r="X42" s="18"/>
    </row>
    <row r="43" spans="1:24" ht="32.25" customHeight="1">
      <c r="A43" s="110" t="s">
        <v>58</v>
      </c>
      <c r="B43" s="110"/>
      <c r="C43" s="110"/>
      <c r="D43" s="110"/>
      <c r="E43" s="110"/>
      <c r="F43" s="110"/>
      <c r="G43" s="110"/>
      <c r="H43" s="110"/>
      <c r="I43" s="110"/>
      <c r="K43" s="18"/>
      <c r="L43" s="18"/>
      <c r="M43" s="18"/>
      <c r="N43" s="18"/>
      <c r="O43" s="18"/>
      <c r="P43" s="18"/>
      <c r="Q43" s="101"/>
      <c r="R43" s="18"/>
      <c r="S43" s="18"/>
      <c r="T43" s="18"/>
      <c r="U43" s="18"/>
      <c r="V43" s="18"/>
      <c r="W43" s="18"/>
      <c r="X43" s="18"/>
    </row>
    <row r="44" spans="1:24" ht="17.25" customHeight="1">
      <c r="A44" s="111" t="s">
        <v>46</v>
      </c>
      <c r="B44" s="111"/>
      <c r="C44" s="111"/>
      <c r="D44" s="111"/>
      <c r="E44" s="111"/>
      <c r="F44" s="111"/>
      <c r="G44" s="111"/>
      <c r="H44" s="111"/>
      <c r="I44" s="111"/>
      <c r="K44" s="18"/>
      <c r="L44" s="18"/>
      <c r="M44" s="18"/>
      <c r="N44" s="18"/>
      <c r="O44" s="18"/>
      <c r="P44" s="18"/>
      <c r="Q44" s="101"/>
      <c r="R44" s="18"/>
      <c r="S44" s="18"/>
      <c r="T44" s="18"/>
      <c r="U44" s="18"/>
      <c r="V44" s="18"/>
      <c r="W44" s="18"/>
      <c r="X44" s="18"/>
    </row>
    <row r="45" spans="1:24" ht="45" customHeight="1">
      <c r="A45" s="110" t="s">
        <v>75</v>
      </c>
      <c r="B45" s="110"/>
      <c r="C45" s="110"/>
      <c r="D45" s="110"/>
      <c r="E45" s="110"/>
      <c r="F45" s="110"/>
      <c r="G45" s="110"/>
      <c r="H45" s="110"/>
      <c r="I45" s="110"/>
      <c r="K45" s="18"/>
      <c r="L45" s="18"/>
      <c r="M45" s="18"/>
      <c r="N45" s="18"/>
      <c r="O45" s="18"/>
      <c r="P45" s="18"/>
      <c r="Q45" s="101"/>
      <c r="R45" s="18"/>
      <c r="S45" s="18"/>
      <c r="T45" s="18"/>
      <c r="U45" s="18"/>
      <c r="V45" s="18"/>
      <c r="W45" s="18"/>
      <c r="X45" s="18"/>
    </row>
    <row r="46" spans="1:24" ht="47.25" customHeight="1">
      <c r="A46" s="110" t="s">
        <v>62</v>
      </c>
      <c r="B46" s="110"/>
      <c r="C46" s="110"/>
      <c r="D46" s="110"/>
      <c r="E46" s="110"/>
      <c r="F46" s="110"/>
      <c r="G46" s="110"/>
      <c r="H46" s="110"/>
      <c r="I46" s="110"/>
      <c r="K46" s="18"/>
      <c r="L46" s="18"/>
      <c r="M46" s="18"/>
      <c r="N46" s="18"/>
      <c r="O46" s="18"/>
      <c r="P46" s="18"/>
      <c r="Q46" s="101"/>
      <c r="R46" s="18"/>
      <c r="S46" s="18"/>
      <c r="T46" s="18"/>
      <c r="U46" s="18"/>
      <c r="V46" s="18"/>
      <c r="W46" s="18"/>
      <c r="X46" s="18"/>
    </row>
    <row r="47" spans="1:24" ht="35.25" customHeight="1">
      <c r="A47" s="110" t="s">
        <v>77</v>
      </c>
      <c r="B47" s="110"/>
      <c r="C47" s="110"/>
      <c r="D47" s="110"/>
      <c r="E47" s="110"/>
      <c r="F47" s="110"/>
      <c r="G47" s="110"/>
      <c r="H47" s="110"/>
      <c r="I47" s="110"/>
      <c r="K47" s="18"/>
      <c r="L47" s="18"/>
      <c r="M47" s="18"/>
      <c r="N47" s="18"/>
      <c r="O47" s="18"/>
      <c r="P47" s="18"/>
      <c r="Q47" s="101"/>
      <c r="R47" s="18"/>
      <c r="S47" s="18"/>
      <c r="T47" s="18"/>
      <c r="U47" s="18"/>
      <c r="V47" s="18"/>
      <c r="W47" s="18"/>
      <c r="X47" s="18"/>
    </row>
    <row r="48" spans="1:24" ht="32.25" customHeight="1">
      <c r="A48" s="110" t="s">
        <v>59</v>
      </c>
      <c r="B48" s="110"/>
      <c r="C48" s="110"/>
      <c r="D48" s="110"/>
      <c r="E48" s="110"/>
      <c r="F48" s="110"/>
      <c r="G48" s="110"/>
      <c r="H48" s="110"/>
      <c r="I48" s="110"/>
      <c r="K48" s="18"/>
      <c r="L48" s="18"/>
      <c r="M48" s="18"/>
      <c r="N48" s="18"/>
      <c r="O48" s="18"/>
      <c r="P48" s="18"/>
      <c r="Q48" s="101"/>
      <c r="R48" s="18"/>
      <c r="S48" s="18"/>
      <c r="T48" s="18"/>
      <c r="U48" s="18"/>
      <c r="V48" s="18"/>
      <c r="W48" s="18"/>
      <c r="X48" s="18"/>
    </row>
    <row r="49" spans="1:24" ht="23.25" customHeight="1">
      <c r="A49" s="110" t="s">
        <v>76</v>
      </c>
      <c r="B49" s="110"/>
      <c r="C49" s="110"/>
      <c r="D49" s="110"/>
      <c r="E49" s="110"/>
      <c r="F49" s="110"/>
      <c r="G49" s="110"/>
      <c r="H49" s="110"/>
      <c r="I49" s="110"/>
      <c r="K49" s="18"/>
      <c r="L49" s="18"/>
      <c r="M49" s="18"/>
      <c r="N49" s="18"/>
      <c r="O49" s="18"/>
      <c r="P49" s="18"/>
      <c r="Q49" s="101"/>
      <c r="R49" s="18"/>
      <c r="S49" s="18"/>
      <c r="T49" s="18"/>
      <c r="U49" s="18"/>
      <c r="V49" s="18"/>
      <c r="W49" s="18"/>
      <c r="X49" s="18"/>
    </row>
    <row r="50" spans="1:24" ht="17.25" customHeight="1">
      <c r="A50" s="111" t="s">
        <v>71</v>
      </c>
      <c r="B50" s="111"/>
      <c r="C50" s="111"/>
      <c r="D50" s="111"/>
      <c r="E50" s="111"/>
      <c r="F50" s="111"/>
      <c r="G50" s="111"/>
      <c r="H50" s="111"/>
      <c r="I50" s="111"/>
      <c r="K50" s="18"/>
      <c r="L50" s="18"/>
      <c r="M50" s="18"/>
      <c r="N50" s="18"/>
      <c r="O50" s="18"/>
      <c r="P50" s="18"/>
      <c r="Q50" s="101"/>
      <c r="R50" s="18"/>
      <c r="S50" s="18"/>
      <c r="T50" s="18"/>
      <c r="U50" s="18"/>
      <c r="V50" s="18"/>
      <c r="W50" s="18"/>
      <c r="X50" s="18"/>
    </row>
    <row r="51" spans="1:24" ht="45.75" customHeight="1">
      <c r="A51" s="110" t="s">
        <v>61</v>
      </c>
      <c r="B51" s="110"/>
      <c r="C51" s="110"/>
      <c r="D51" s="110"/>
      <c r="E51" s="110"/>
      <c r="F51" s="110"/>
      <c r="G51" s="110"/>
      <c r="H51" s="110"/>
      <c r="I51" s="110"/>
      <c r="K51" s="18"/>
      <c r="L51" s="18"/>
      <c r="M51" s="18"/>
      <c r="N51" s="18"/>
      <c r="O51" s="18"/>
      <c r="P51" s="18"/>
      <c r="Q51" s="101"/>
      <c r="R51" s="18"/>
      <c r="S51" s="18"/>
      <c r="T51" s="18"/>
      <c r="U51" s="18"/>
      <c r="V51" s="18"/>
      <c r="W51" s="18"/>
      <c r="X51" s="18"/>
    </row>
    <row r="52" spans="1:24" ht="60" customHeight="1">
      <c r="A52" s="110" t="s">
        <v>65</v>
      </c>
      <c r="B52" s="110"/>
      <c r="C52" s="110"/>
      <c r="D52" s="110"/>
      <c r="E52" s="110"/>
      <c r="F52" s="110"/>
      <c r="G52" s="110"/>
      <c r="H52" s="110"/>
      <c r="I52" s="110"/>
      <c r="K52" s="18"/>
      <c r="L52" s="18"/>
      <c r="M52" s="18"/>
      <c r="N52" s="18"/>
      <c r="O52" s="18"/>
      <c r="P52" s="18"/>
      <c r="Q52" s="101"/>
      <c r="R52" s="18"/>
      <c r="S52" s="18"/>
      <c r="T52" s="18"/>
      <c r="U52" s="18"/>
      <c r="V52" s="18"/>
      <c r="W52" s="18"/>
      <c r="X52" s="18"/>
    </row>
    <row r="53" spans="1:24" ht="32.25" customHeight="1">
      <c r="A53" s="110" t="s">
        <v>66</v>
      </c>
      <c r="B53" s="110"/>
      <c r="C53" s="110"/>
      <c r="D53" s="110"/>
      <c r="E53" s="110"/>
      <c r="F53" s="110"/>
      <c r="G53" s="110"/>
      <c r="H53" s="110"/>
      <c r="I53" s="110"/>
      <c r="K53" s="18"/>
      <c r="L53" s="18"/>
      <c r="M53" s="18"/>
      <c r="N53" s="18"/>
      <c r="O53" s="18"/>
      <c r="P53" s="18"/>
      <c r="Q53" s="101"/>
      <c r="R53" s="18"/>
      <c r="S53" s="18"/>
      <c r="T53" s="18"/>
      <c r="U53" s="18"/>
      <c r="V53" s="18"/>
      <c r="W53" s="18"/>
      <c r="X53" s="18"/>
    </row>
    <row r="54" spans="1:24" ht="30.75" customHeight="1">
      <c r="A54" s="110" t="s">
        <v>60</v>
      </c>
      <c r="B54" s="110"/>
      <c r="C54" s="110"/>
      <c r="D54" s="110"/>
      <c r="E54" s="110"/>
      <c r="F54" s="110"/>
      <c r="G54" s="110"/>
      <c r="H54" s="110"/>
      <c r="I54" s="110"/>
      <c r="K54" s="18"/>
      <c r="L54" s="18"/>
      <c r="M54" s="18"/>
      <c r="N54" s="18"/>
      <c r="O54" s="18"/>
      <c r="P54" s="18"/>
      <c r="Q54" s="101"/>
      <c r="R54" s="18"/>
      <c r="S54" s="18"/>
      <c r="T54" s="18"/>
      <c r="U54" s="18"/>
      <c r="V54" s="18"/>
      <c r="W54" s="18"/>
      <c r="X54" s="18"/>
    </row>
    <row r="55" spans="1:24" ht="17.25" customHeight="1">
      <c r="A55" s="109" t="s">
        <v>74</v>
      </c>
      <c r="B55" s="109"/>
      <c r="C55" s="109"/>
      <c r="D55" s="109"/>
      <c r="E55" s="109"/>
      <c r="F55" s="109"/>
      <c r="G55" s="109"/>
      <c r="H55" s="109"/>
      <c r="I55" s="109"/>
      <c r="K55" s="18"/>
      <c r="L55" s="18"/>
      <c r="M55" s="18"/>
      <c r="N55" s="18"/>
      <c r="O55" s="18"/>
      <c r="P55" s="18"/>
      <c r="Q55" s="101"/>
      <c r="R55" s="18"/>
      <c r="S55" s="18"/>
      <c r="T55" s="18"/>
      <c r="U55" s="18"/>
      <c r="V55" s="18"/>
      <c r="W55" s="18"/>
      <c r="X55" s="18"/>
    </row>
    <row r="56" ht="12.75">
      <c r="A56" s="18"/>
    </row>
    <row r="57" ht="12.75">
      <c r="A57" s="18"/>
    </row>
    <row r="58" ht="12.75">
      <c r="A58" s="18"/>
    </row>
    <row r="59" ht="12.75">
      <c r="A59" s="18"/>
    </row>
    <row r="60" ht="12.75">
      <c r="A60" s="18"/>
    </row>
    <row r="61" ht="12.75">
      <c r="A61" s="18"/>
    </row>
    <row r="62" ht="12.75">
      <c r="A62" s="18"/>
    </row>
    <row r="63" ht="12.75">
      <c r="A63" s="18"/>
    </row>
  </sheetData>
  <sheetProtection formatCells="0" formatColumns="0" formatRows="0" insertColumns="0" insertRows="0" deleteRows="0" pivotTables="0"/>
  <mergeCells count="25">
    <mergeCell ref="A1:I1"/>
    <mergeCell ref="A2:I2"/>
    <mergeCell ref="Q39:X39"/>
    <mergeCell ref="Q40:X40"/>
    <mergeCell ref="Q41:X41"/>
    <mergeCell ref="A40:I40"/>
    <mergeCell ref="A41:I41"/>
    <mergeCell ref="K2:O2"/>
    <mergeCell ref="K3:O3"/>
    <mergeCell ref="A38:I38"/>
    <mergeCell ref="A39:I39"/>
    <mergeCell ref="A55:I55"/>
    <mergeCell ref="A42:I42"/>
    <mergeCell ref="A43:I43"/>
    <mergeCell ref="A46:I46"/>
    <mergeCell ref="A45:I45"/>
    <mergeCell ref="A47:I47"/>
    <mergeCell ref="A48:I48"/>
    <mergeCell ref="A49:I49"/>
    <mergeCell ref="A51:I51"/>
    <mergeCell ref="A54:I54"/>
    <mergeCell ref="A52:I52"/>
    <mergeCell ref="A53:I53"/>
    <mergeCell ref="A50:I50"/>
    <mergeCell ref="A44:I44"/>
  </mergeCells>
  <printOptions/>
  <pageMargins left="0.5" right="0.5" top="0.75" bottom="0.75" header="0.3" footer="0.3"/>
  <pageSetup fitToHeight="0" fitToWidth="1" horizontalDpi="600" verticalDpi="600" orientation="portrait" scale="70" r:id="rId1"/>
  <headerFooter>
    <oddFooter>&amp;Rpg.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zoomScale="160" zoomScaleNormal="160" workbookViewId="0" topLeftCell="A7">
      <selection activeCell="F13" sqref="F13"/>
    </sheetView>
  </sheetViews>
  <sheetFormatPr defaultColWidth="9.140625" defaultRowHeight="12.75"/>
  <cols>
    <col min="1" max="1" width="37.8515625" style="0" customWidth="1"/>
    <col min="2" max="2" width="10.421875" style="0" bestFit="1" customWidth="1"/>
    <col min="3" max="3" width="7.57421875" style="0" bestFit="1" customWidth="1"/>
    <col min="4" max="4" width="13.28125" style="0" customWidth="1"/>
    <col min="5" max="9" width="13.00390625" style="0" customWidth="1"/>
    <col min="10" max="10" width="14.140625" style="0" customWidth="1"/>
  </cols>
  <sheetData>
    <row r="1" spans="2:10" ht="15">
      <c r="B1" s="1" t="s">
        <v>70</v>
      </c>
      <c r="C1" s="1">
        <v>2019</v>
      </c>
      <c r="D1" s="1">
        <v>2020</v>
      </c>
      <c r="E1" s="1">
        <v>2021</v>
      </c>
      <c r="F1" s="1">
        <v>2022</v>
      </c>
      <c r="G1" s="1">
        <v>2023</v>
      </c>
      <c r="H1" s="1">
        <v>2024</v>
      </c>
      <c r="I1" s="1">
        <v>2025</v>
      </c>
      <c r="J1" s="1" t="s">
        <v>0</v>
      </c>
    </row>
    <row r="2" spans="2:10" ht="15">
      <c r="B2" s="2" t="s">
        <v>1</v>
      </c>
      <c r="C2" s="2" t="s">
        <v>2</v>
      </c>
      <c r="D2" s="2" t="s">
        <v>63</v>
      </c>
      <c r="E2" s="2" t="s">
        <v>63</v>
      </c>
      <c r="F2" s="2" t="s">
        <v>63</v>
      </c>
      <c r="G2" s="2" t="s">
        <v>63</v>
      </c>
      <c r="H2" s="2" t="s">
        <v>63</v>
      </c>
      <c r="I2" s="2" t="s">
        <v>63</v>
      </c>
      <c r="J2" s="2" t="s">
        <v>3</v>
      </c>
    </row>
    <row r="3" spans="1:10" ht="15">
      <c r="A3" s="3" t="s">
        <v>4</v>
      </c>
      <c r="B3" s="3"/>
      <c r="C3" s="3"/>
      <c r="D3" s="4"/>
      <c r="E3" s="4">
        <f>D19</f>
        <v>277040.6103113503</v>
      </c>
      <c r="F3" s="4">
        <f>E19</f>
        <v>1438592.3849187512</v>
      </c>
      <c r="G3" s="4">
        <f>F19</f>
        <v>1407997.933865149</v>
      </c>
      <c r="H3" s="4">
        <f>G19</f>
        <v>1974849.581401796</v>
      </c>
      <c r="I3" s="4">
        <f>H19</f>
        <v>2919008.6698340536</v>
      </c>
      <c r="J3" s="4">
        <f>D3</f>
        <v>0</v>
      </c>
    </row>
    <row r="4" spans="1:10" ht="15">
      <c r="A4" s="5" t="s">
        <v>5</v>
      </c>
      <c r="B4" s="5"/>
      <c r="C4" s="5"/>
      <c r="D4" s="6"/>
      <c r="E4" s="6"/>
      <c r="F4" s="6"/>
      <c r="G4" s="6"/>
      <c r="H4" s="6"/>
      <c r="I4" s="6"/>
      <c r="J4" s="7"/>
    </row>
    <row r="5" spans="1:10" ht="15">
      <c r="A5" s="10" t="s">
        <v>6</v>
      </c>
      <c r="B5" s="10"/>
      <c r="C5" s="10"/>
      <c r="D5" s="10">
        <v>41000000</v>
      </c>
      <c r="E5" s="10">
        <v>44000000</v>
      </c>
      <c r="F5" s="10">
        <v>45000000</v>
      </c>
      <c r="G5" s="10">
        <v>48000000</v>
      </c>
      <c r="H5" s="10">
        <v>51000000</v>
      </c>
      <c r="I5" s="10">
        <v>54000000</v>
      </c>
      <c r="J5" s="10">
        <f>SUM(D5:I5)</f>
        <v>283000000</v>
      </c>
    </row>
    <row r="6" spans="1:10" ht="15">
      <c r="A6" s="7" t="s">
        <v>7</v>
      </c>
      <c r="B6" s="7"/>
      <c r="C6" s="7"/>
      <c r="D6" s="7">
        <v>5500000</v>
      </c>
      <c r="E6" s="7">
        <f>D6*1.01</f>
        <v>5555000</v>
      </c>
      <c r="F6" s="7">
        <f aca="true" t="shared" si="0" ref="F6:I6">E6*1.01</f>
        <v>5610550</v>
      </c>
      <c r="G6" s="7">
        <f t="shared" si="0"/>
        <v>5666655.5</v>
      </c>
      <c r="H6" s="7">
        <f t="shared" si="0"/>
        <v>5723322.055</v>
      </c>
      <c r="I6" s="7">
        <f t="shared" si="0"/>
        <v>5780555.275549999</v>
      </c>
      <c r="J6" s="7">
        <f>SUM(D6:I6)</f>
        <v>33836082.83055</v>
      </c>
    </row>
    <row r="7" spans="1:10" ht="15">
      <c r="A7" s="7" t="s">
        <v>8</v>
      </c>
      <c r="B7" s="7"/>
      <c r="C7" s="7"/>
      <c r="D7" s="7">
        <v>1740000</v>
      </c>
      <c r="E7" s="7">
        <f>D7*(1+2.9%)</f>
        <v>1790459.9999999998</v>
      </c>
      <c r="F7" s="7">
        <f>E7*(1+2.9%)</f>
        <v>1842383.3399999996</v>
      </c>
      <c r="G7" s="7">
        <f>F7*(1+3.2%)</f>
        <v>1901339.6068799996</v>
      </c>
      <c r="H7" s="7">
        <f>G7*(1+3.4%)</f>
        <v>1965985.1535139196</v>
      </c>
      <c r="I7" s="7">
        <f>H7*(1+3.4%)</f>
        <v>2032828.6487333928</v>
      </c>
      <c r="J7" s="7">
        <f>SUM(D7:I7)</f>
        <v>11272996.749127312</v>
      </c>
    </row>
    <row r="8" spans="1:10" ht="15">
      <c r="A8" s="8" t="s">
        <v>9</v>
      </c>
      <c r="B8" s="8"/>
      <c r="C8" s="8"/>
      <c r="D8" s="8">
        <v>528390</v>
      </c>
      <c r="E8" s="8">
        <v>542128.14</v>
      </c>
      <c r="F8" s="8">
        <v>555681.3435</v>
      </c>
      <c r="G8" s="8">
        <v>569573.3770875</v>
      </c>
      <c r="H8" s="8">
        <v>585521.43164595</v>
      </c>
      <c r="I8" s="8">
        <v>601916.0317320366</v>
      </c>
      <c r="J8" s="8">
        <f>SUM(D8:I8)</f>
        <v>3383210.3239654866</v>
      </c>
    </row>
    <row r="9" spans="1:10" ht="15">
      <c r="A9" s="9" t="s">
        <v>10</v>
      </c>
      <c r="B9" s="9"/>
      <c r="C9" s="9"/>
      <c r="D9" s="9">
        <f aca="true" t="shared" si="1" ref="D9:J9">SUM(D5:D8)</f>
        <v>48768390</v>
      </c>
      <c r="E9" s="9">
        <f t="shared" si="1"/>
        <v>51887588.14</v>
      </c>
      <c r="F9" s="9">
        <f t="shared" si="1"/>
        <v>53008614.6835</v>
      </c>
      <c r="G9" s="9">
        <f t="shared" si="1"/>
        <v>56137568.4839675</v>
      </c>
      <c r="H9" s="9">
        <f t="shared" si="1"/>
        <v>59274828.64015987</v>
      </c>
      <c r="I9" s="9">
        <f t="shared" si="1"/>
        <v>62415299.95601543</v>
      </c>
      <c r="J9" s="9">
        <f t="shared" si="1"/>
        <v>331492289.90364283</v>
      </c>
    </row>
    <row r="10" spans="1:10" ht="15">
      <c r="A10" s="5" t="s">
        <v>11</v>
      </c>
      <c r="B10" s="5"/>
      <c r="C10" s="5"/>
      <c r="D10" s="6"/>
      <c r="E10" s="6"/>
      <c r="F10" s="6"/>
      <c r="G10" s="6"/>
      <c r="H10" s="6"/>
      <c r="I10" s="6"/>
      <c r="J10" s="6"/>
    </row>
    <row r="11" spans="1:10" ht="15">
      <c r="A11" s="7" t="s">
        <v>12</v>
      </c>
      <c r="B11" s="7"/>
      <c r="C11" s="7"/>
      <c r="D11" s="7">
        <v>-47189515.22033312</v>
      </c>
      <c r="E11" s="7">
        <v>-48520334.240722775</v>
      </c>
      <c r="F11" s="7">
        <v>-49878972.491155736</v>
      </c>
      <c r="G11" s="7">
        <v>-51395345.36814303</v>
      </c>
      <c r="H11" s="7">
        <v>-53071253.06437121</v>
      </c>
      <c r="I11" s="7">
        <v>-54802089.1494207</v>
      </c>
      <c r="J11" s="7">
        <f aca="true" t="shared" si="2" ref="J11:J16">SUM(D11:I11)</f>
        <v>-304857509.53414655</v>
      </c>
    </row>
    <row r="12" spans="1:10" ht="15">
      <c r="A12" s="7" t="s">
        <v>13</v>
      </c>
      <c r="B12" s="7"/>
      <c r="C12" s="7"/>
      <c r="D12" s="7">
        <v>-914010.453023355</v>
      </c>
      <c r="E12" s="7">
        <v>-1879833.5123220645</v>
      </c>
      <c r="F12" s="7">
        <v>-2899060.6262691063</v>
      </c>
      <c r="G12" s="7">
        <v>-3983218.1817462905</v>
      </c>
      <c r="H12" s="7">
        <v>-5141841.852407082</v>
      </c>
      <c r="I12" s="7">
        <v>-6372018.880510706</v>
      </c>
      <c r="J12" s="7">
        <f t="shared" si="2"/>
        <v>-21189983.506278604</v>
      </c>
    </row>
    <row r="13" spans="1:10" ht="15">
      <c r="A13" s="7" t="s">
        <v>8</v>
      </c>
      <c r="B13" s="7"/>
      <c r="C13" s="7"/>
      <c r="D13" s="7">
        <f aca="true" t="shared" si="3" ref="D13:I13">-D7</f>
        <v>-1740000</v>
      </c>
      <c r="E13" s="7">
        <f t="shared" si="3"/>
        <v>-1790459.9999999998</v>
      </c>
      <c r="F13" s="7">
        <f t="shared" si="3"/>
        <v>-1842383.3399999996</v>
      </c>
      <c r="G13" s="7">
        <f t="shared" si="3"/>
        <v>-1901339.6068799996</v>
      </c>
      <c r="H13" s="7">
        <f t="shared" si="3"/>
        <v>-1965985.1535139196</v>
      </c>
      <c r="I13" s="7">
        <f t="shared" si="3"/>
        <v>-2032828.6487333928</v>
      </c>
      <c r="J13" s="7">
        <f t="shared" si="2"/>
        <v>-11272996.749127312</v>
      </c>
    </row>
    <row r="14" spans="1:10" ht="15">
      <c r="A14" s="7" t="s">
        <v>69</v>
      </c>
      <c r="B14" s="7"/>
      <c r="C14" s="7"/>
      <c r="D14" s="7">
        <v>-1000000</v>
      </c>
      <c r="E14" s="7">
        <v>-1000000</v>
      </c>
      <c r="F14" s="7">
        <v>-1000000</v>
      </c>
      <c r="G14" s="7">
        <v>-1000000</v>
      </c>
      <c r="H14" s="7">
        <v>-1000000</v>
      </c>
      <c r="I14" s="7">
        <v>-1000000</v>
      </c>
      <c r="J14" s="7">
        <f t="shared" si="2"/>
        <v>-6000000</v>
      </c>
    </row>
    <row r="15" spans="1:10" ht="15">
      <c r="A15" s="7" t="s">
        <v>14</v>
      </c>
      <c r="B15" s="7"/>
      <c r="C15" s="7"/>
      <c r="D15" s="7">
        <v>-100000</v>
      </c>
      <c r="E15" s="7">
        <v>-102600</v>
      </c>
      <c r="F15" s="7">
        <v>-105164.99999999999</v>
      </c>
      <c r="G15" s="7">
        <v>-107794.12499999997</v>
      </c>
      <c r="H15" s="7">
        <v>-110812.36049999997</v>
      </c>
      <c r="I15" s="7">
        <v>-113915.10659399997</v>
      </c>
      <c r="J15" s="7">
        <f t="shared" si="2"/>
        <v>-640286.592094</v>
      </c>
    </row>
    <row r="16" spans="1:10" ht="15">
      <c r="A16" s="10" t="s">
        <v>15</v>
      </c>
      <c r="B16" s="10"/>
      <c r="C16" s="10"/>
      <c r="D16" s="10">
        <v>-100000</v>
      </c>
      <c r="E16" s="10">
        <v>-102600</v>
      </c>
      <c r="F16" s="10">
        <v>-105164.99999999999</v>
      </c>
      <c r="G16" s="10">
        <v>-107794.12499999997</v>
      </c>
      <c r="H16" s="10">
        <v>-110812.36049999997</v>
      </c>
      <c r="I16" s="10">
        <v>-113915.10659399997</v>
      </c>
      <c r="J16" s="10">
        <f t="shared" si="2"/>
        <v>-640286.592094</v>
      </c>
    </row>
    <row r="17" spans="1:10" ht="15">
      <c r="A17" s="3" t="s">
        <v>16</v>
      </c>
      <c r="B17" s="3"/>
      <c r="C17" s="3"/>
      <c r="D17" s="9">
        <f aca="true" t="shared" si="4" ref="D17:J17">SUM(D11:D16)</f>
        <v>-51043525.67335647</v>
      </c>
      <c r="E17" s="9">
        <f t="shared" si="4"/>
        <v>-53395827.75304484</v>
      </c>
      <c r="F17" s="9">
        <f t="shared" si="4"/>
        <v>-55830746.45742484</v>
      </c>
      <c r="G17" s="9">
        <f t="shared" si="4"/>
        <v>-58495491.40676932</v>
      </c>
      <c r="H17" s="9">
        <f t="shared" si="4"/>
        <v>-61400704.79129222</v>
      </c>
      <c r="I17" s="9">
        <f t="shared" si="4"/>
        <v>-64434766.891852796</v>
      </c>
      <c r="J17" s="9">
        <f t="shared" si="4"/>
        <v>-344601062.9737405</v>
      </c>
    </row>
    <row r="18" spans="1:10" ht="15">
      <c r="A18" s="12" t="s">
        <v>17</v>
      </c>
      <c r="B18" s="12"/>
      <c r="C18" s="12"/>
      <c r="D18" s="13">
        <f>-5%*D17</f>
        <v>2552176.2836678238</v>
      </c>
      <c r="E18" s="13">
        <f aca="true" t="shared" si="5" ref="E18:J18">-5%*E17</f>
        <v>2669791.3876522426</v>
      </c>
      <c r="F18" s="13">
        <f t="shared" si="5"/>
        <v>2791537.322871242</v>
      </c>
      <c r="G18" s="13">
        <f t="shared" si="5"/>
        <v>2924774.570338466</v>
      </c>
      <c r="H18" s="13">
        <f t="shared" si="5"/>
        <v>3070035.239564611</v>
      </c>
      <c r="I18" s="13">
        <f t="shared" si="5"/>
        <v>3221738.34459264</v>
      </c>
      <c r="J18" s="13">
        <f t="shared" si="5"/>
        <v>17230053.148687027</v>
      </c>
    </row>
    <row r="19" spans="1:10" ht="15.75" customHeight="1">
      <c r="A19" s="9" t="s">
        <v>18</v>
      </c>
      <c r="B19" s="9"/>
      <c r="C19" s="9"/>
      <c r="D19" s="9">
        <f aca="true" t="shared" si="6" ref="D19:J19">D3+D9+D17+D18</f>
        <v>277040.6103113503</v>
      </c>
      <c r="E19" s="9">
        <f t="shared" si="6"/>
        <v>1438592.3849187512</v>
      </c>
      <c r="F19" s="9">
        <f t="shared" si="6"/>
        <v>1407997.933865149</v>
      </c>
      <c r="G19" s="9">
        <f t="shared" si="6"/>
        <v>1974849.581401796</v>
      </c>
      <c r="H19" s="9">
        <f t="shared" si="6"/>
        <v>2919008.6698340536</v>
      </c>
      <c r="I19" s="9">
        <f t="shared" si="6"/>
        <v>4121280.0785893295</v>
      </c>
      <c r="J19" s="9">
        <f t="shared" si="6"/>
        <v>4121280.0785893425</v>
      </c>
    </row>
    <row r="20" spans="1:10" ht="15.75" customHeight="1">
      <c r="A20" s="7" t="s">
        <v>19</v>
      </c>
      <c r="B20" s="7"/>
      <c r="C20" s="7"/>
      <c r="D20" s="7">
        <f aca="true" t="shared" si="7" ref="D20:I20">25%*D17</f>
        <v>-12760881.418339118</v>
      </c>
      <c r="E20" s="7">
        <f t="shared" si="7"/>
        <v>-13348956.93826121</v>
      </c>
      <c r="F20" s="7">
        <f t="shared" si="7"/>
        <v>-13957686.61435621</v>
      </c>
      <c r="G20" s="7">
        <f t="shared" si="7"/>
        <v>-14623872.85169233</v>
      </c>
      <c r="H20" s="7">
        <f t="shared" si="7"/>
        <v>-15350176.197823055</v>
      </c>
      <c r="I20" s="7">
        <f t="shared" si="7"/>
        <v>-16108691.722963199</v>
      </c>
      <c r="J20" s="7">
        <f>I20</f>
        <v>-16108691.722963199</v>
      </c>
    </row>
    <row r="21" spans="1:10" ht="15">
      <c r="A21" s="11" t="s">
        <v>20</v>
      </c>
      <c r="B21" s="11"/>
      <c r="C21" s="11"/>
      <c r="D21" s="11">
        <f aca="true" t="shared" si="8" ref="D21:I21">3%*D17</f>
        <v>-1531305.7702006942</v>
      </c>
      <c r="E21" s="11">
        <f t="shared" si="8"/>
        <v>-1601874.8325913453</v>
      </c>
      <c r="F21" s="11">
        <f t="shared" si="8"/>
        <v>-1674922.3937227451</v>
      </c>
      <c r="G21" s="11">
        <f t="shared" si="8"/>
        <v>-1754864.7422030796</v>
      </c>
      <c r="H21" s="11">
        <f t="shared" si="8"/>
        <v>-1842021.1437387664</v>
      </c>
      <c r="I21" s="11">
        <f t="shared" si="8"/>
        <v>-1933043.006755584</v>
      </c>
      <c r="J21" s="11">
        <f>I21</f>
        <v>-1933043.006755584</v>
      </c>
    </row>
    <row r="22" spans="1:10" ht="15">
      <c r="A22" s="11" t="s">
        <v>21</v>
      </c>
      <c r="B22" s="11"/>
      <c r="C22" s="11"/>
      <c r="D22" s="14">
        <f>-SUM(D19:D21)</f>
        <v>14015146.578228462</v>
      </c>
      <c r="E22" s="14">
        <f aca="true" t="shared" si="9" ref="E22:J22">-SUM(E19:E21)</f>
        <v>13512239.385933805</v>
      </c>
      <c r="F22" s="14">
        <f t="shared" si="9"/>
        <v>14224611.074213807</v>
      </c>
      <c r="G22" s="14">
        <f t="shared" si="9"/>
        <v>14403888.012493614</v>
      </c>
      <c r="H22" s="14">
        <f t="shared" si="9"/>
        <v>14273188.67172777</v>
      </c>
      <c r="I22" s="14">
        <f t="shared" si="9"/>
        <v>13920454.651129454</v>
      </c>
      <c r="J22" s="14">
        <f t="shared" si="9"/>
        <v>13920454.65112944</v>
      </c>
    </row>
    <row r="23" spans="1:10" ht="15">
      <c r="A23" s="4"/>
      <c r="B23" s="4"/>
      <c r="C23" s="4"/>
      <c r="D23" s="4">
        <f>SUM(D19:D22)</f>
        <v>0</v>
      </c>
      <c r="E23" s="4">
        <f aca="true" t="shared" si="10" ref="E23:J23">SUM(E19:E22)</f>
        <v>0</v>
      </c>
      <c r="F23" s="4">
        <f t="shared" si="10"/>
        <v>0</v>
      </c>
      <c r="G23" s="4">
        <f t="shared" si="10"/>
        <v>0</v>
      </c>
      <c r="H23" s="4">
        <f t="shared" si="10"/>
        <v>0</v>
      </c>
      <c r="I23" s="4">
        <f t="shared" si="10"/>
        <v>0</v>
      </c>
      <c r="J23" s="4">
        <f t="shared" si="10"/>
        <v>0</v>
      </c>
    </row>
    <row r="24" spans="4:10" ht="12.75">
      <c r="D24" s="107"/>
      <c r="E24" s="107"/>
      <c r="F24" s="107"/>
      <c r="G24" s="107"/>
      <c r="H24" s="107"/>
      <c r="I24" s="107"/>
      <c r="J24" s="107"/>
    </row>
    <row r="25" spans="4:10" ht="12.75">
      <c r="D25" s="107"/>
      <c r="E25" s="107"/>
      <c r="F25" s="107"/>
      <c r="G25" s="107"/>
      <c r="H25" s="107"/>
      <c r="I25" s="107"/>
      <c r="J25" s="107"/>
    </row>
    <row r="26" spans="4:10" ht="12.75">
      <c r="D26" s="107"/>
      <c r="E26" s="107"/>
      <c r="F26" s="107"/>
      <c r="G26" s="107"/>
      <c r="H26" s="107"/>
      <c r="I26" s="107"/>
      <c r="J26" s="107"/>
    </row>
    <row r="27" spans="4:10" ht="12.75">
      <c r="D27" s="107"/>
      <c r="E27" s="107"/>
      <c r="F27" s="107"/>
      <c r="G27" s="107"/>
      <c r="H27" s="107"/>
      <c r="I27" s="107"/>
      <c r="J27" s="107"/>
    </row>
    <row r="28" spans="4:10" ht="12.75">
      <c r="D28" s="107"/>
      <c r="E28" s="107"/>
      <c r="F28" s="107"/>
      <c r="G28" s="107"/>
      <c r="H28" s="107"/>
      <c r="I28" s="107"/>
      <c r="J28" s="107"/>
    </row>
    <row r="29" spans="4:10" ht="12.75">
      <c r="D29" s="107"/>
      <c r="E29" s="107"/>
      <c r="F29" s="107"/>
      <c r="G29" s="107"/>
      <c r="H29" s="107"/>
      <c r="I29" s="107"/>
      <c r="J29" s="107"/>
    </row>
    <row r="30" spans="4:10" ht="12.75">
      <c r="D30" s="107"/>
      <c r="E30" s="107"/>
      <c r="F30" s="107"/>
      <c r="G30" s="107"/>
      <c r="H30" s="107"/>
      <c r="I30" s="107"/>
      <c r="J30" s="107"/>
    </row>
    <row r="48" spans="1:4" ht="12.75">
      <c r="A48">
        <v>120</v>
      </c>
      <c r="D48" s="106">
        <v>6835.71</v>
      </c>
    </row>
    <row r="49" spans="1:4" ht="12.75">
      <c r="A49">
        <v>32</v>
      </c>
      <c r="D49" s="106">
        <v>1822.86</v>
      </c>
    </row>
    <row r="50" spans="1:4" ht="12.75">
      <c r="A50">
        <v>8</v>
      </c>
      <c r="D50">
        <v>455.71</v>
      </c>
    </row>
    <row r="51" spans="1:4" ht="12.75">
      <c r="A51">
        <v>0</v>
      </c>
      <c r="D51" s="106">
        <v>1524</v>
      </c>
    </row>
    <row r="52" spans="1:4" ht="12.75">
      <c r="A52">
        <v>0</v>
      </c>
      <c r="D52">
        <v>689.03</v>
      </c>
    </row>
    <row r="53" spans="1:4" ht="12.75">
      <c r="A53">
        <v>0</v>
      </c>
      <c r="D53" s="106">
        <v>1169.36</v>
      </c>
    </row>
    <row r="54" spans="1:4" ht="12.75">
      <c r="A54">
        <v>0</v>
      </c>
      <c r="D54">
        <v>6.53</v>
      </c>
    </row>
    <row r="55" spans="1:4" ht="12.75">
      <c r="A55">
        <f>SUM(A48:A54)</f>
        <v>160</v>
      </c>
      <c r="D55" s="106">
        <f>SUM(D48:D54)</f>
        <v>12503.2</v>
      </c>
    </row>
    <row r="56" ht="12.75">
      <c r="D56">
        <f>D55/A55</f>
        <v>78.14500000000001</v>
      </c>
    </row>
    <row r="57" spans="1:4" ht="12.75">
      <c r="A57" s="15"/>
      <c r="B57" s="15"/>
      <c r="C57" s="15"/>
      <c r="D57">
        <f>D56*15</f>
        <v>1172.1750000000002</v>
      </c>
    </row>
  </sheetData>
  <printOptions/>
  <pageMargins left="0.25" right="0.25" top="0.75" bottom="0.75" header="0.3" footer="0.3"/>
  <pageSetup fitToHeight="0" fitToWidth="1" horizontalDpi="600" verticalDpi="600" orientation="landscape" scale="39" r:id="rId1"/>
  <headerFooter>
    <oddHeader>&amp;C&amp;F
&amp;A</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03F04971992E49B8948BCA1CE883FE" ma:contentTypeVersion="10" ma:contentTypeDescription="Create a new document." ma:contentTypeScope="" ma:versionID="d072b2e9ebd72659a69232e4c41e71fb">
  <xsd:schema xmlns:xsd="http://www.w3.org/2001/XMLSchema" xmlns:xs="http://www.w3.org/2001/XMLSchema" xmlns:p="http://schemas.microsoft.com/office/2006/metadata/properties" xmlns:ns2="92810d9f-85a8-4947-9fd6-c4bbade4f97f" xmlns:ns3="80b6610e-d4b2-4961-bd4c-b5915d69639e" xmlns:ns4="3cc1a9a2-a902-41c5-9f96-dbe94612198a" targetNamespace="http://schemas.microsoft.com/office/2006/metadata/properties" ma:root="true" ma:fieldsID="0b4679a1d83971b789d905dc42e799db" ns2:_="" ns3:_="" ns4:_="">
    <xsd:import namespace="92810d9f-85a8-4947-9fd6-c4bbade4f97f"/>
    <xsd:import namespace="80b6610e-d4b2-4961-bd4c-b5915d69639e"/>
    <xsd:import namespace="3cc1a9a2-a902-41c5-9f96-dbe94612198a"/>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b6610e-d4b2-4961-bd4c-b5915d69639e"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cc1a9a2-a902-41c5-9f96-dbe94612198a"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3A2B7B-95F2-48E0-94C4-E08064D108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80b6610e-d4b2-4961-bd4c-b5915d69639e"/>
    <ds:schemaRef ds:uri="3cc1a9a2-a902-41c5-9f96-dbe9461219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367EA4-9AF4-44A5-9EEE-4394CDE2117E}">
  <ds:schemaRefs>
    <ds:schemaRef ds:uri="http://schemas.microsoft.com/office/2006/metadata/customXsn"/>
  </ds:schemaRefs>
</ds:datastoreItem>
</file>

<file path=customXml/itemProps3.xml><?xml version="1.0" encoding="utf-8"?>
<ds:datastoreItem xmlns:ds="http://schemas.openxmlformats.org/officeDocument/2006/customXml" ds:itemID="{0F25A948-43DA-4B32-9A2E-E0C8BDCBBA4E}">
  <ds:schemaRefs>
    <ds:schemaRef ds:uri="http://schemas.microsoft.com/sharepoint/v3/contenttype/forms"/>
  </ds:schemaRefs>
</ds:datastoreItem>
</file>

<file path=customXml/itemProps4.xml><?xml version="1.0" encoding="utf-8"?>
<ds:datastoreItem xmlns:ds="http://schemas.openxmlformats.org/officeDocument/2006/customXml" ds:itemID="{8C22D3CB-AAF5-4967-88FD-39BA53C61C66}">
  <ds:schemaRefs>
    <ds:schemaRef ds:uri="http://purl.org/dc/terms/"/>
    <ds:schemaRef ds:uri="http://schemas.openxmlformats.org/package/2006/metadata/core-properties"/>
    <ds:schemaRef ds:uri="3cc1a9a2-a902-41c5-9f96-dbe94612198a"/>
    <ds:schemaRef ds:uri="http://schemas.microsoft.com/office/2006/documentManagement/types"/>
    <ds:schemaRef ds:uri="http://schemas.microsoft.com/office/infopath/2007/PartnerControls"/>
    <ds:schemaRef ds:uri="92810d9f-85a8-4947-9fd6-c4bbade4f97f"/>
    <ds:schemaRef ds:uri="80b6610e-d4b2-4961-bd4c-b5915d69639e"/>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Lehman, Jennifer</dc:creator>
  <cp:keywords/>
  <dc:description/>
  <cp:lastModifiedBy>Horner, Elka</cp:lastModifiedBy>
  <cp:lastPrinted>2019-02-13T20:47:57Z</cp:lastPrinted>
  <dcterms:created xsi:type="dcterms:W3CDTF">2019-01-09T19:41:52Z</dcterms:created>
  <dcterms:modified xsi:type="dcterms:W3CDTF">2019-02-19T20:30:21Z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0x010100A903F04971992E49B8948BCA1CE883FE</vt:lpwstr>
  </property>
</Properties>
</file>