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5336" windowHeight="7056" activeTab="0"/>
  </bookViews>
  <sheets>
    <sheet name="Council" sheetId="3"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'Council'!$B$1:$Z$50</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DO_?XDOFIELD1?">#REF!</definedName>
    <definedName name="XDO_?XDOFIELD10?">#REF!</definedName>
    <definedName name="XDO_?XDOFIELD11?">#REF!</definedName>
    <definedName name="XDO_?XDOFIELD12?">#REF!</definedName>
    <definedName name="XDO_?XDOFIELD13?">#REF!</definedName>
    <definedName name="XDO_?XDOFIELD14?">#REF!</definedName>
    <definedName name="XDO_?XDOFIELD15?">#REF!</definedName>
    <definedName name="XDO_?XDOFIELD16?">#REF!</definedName>
    <definedName name="XDO_?XDOFIELD17?">#REF!</definedName>
    <definedName name="XDO_?XDOFIELD18?">#REF!</definedName>
    <definedName name="XDO_?XDOFIELD19?">#REF!</definedName>
    <definedName name="XDO_?XDOFIELD2?">#REF!</definedName>
    <definedName name="XDO_?XDOFIELD20?">#REF!</definedName>
    <definedName name="XDO_?XDOFIELD21?">#REF!</definedName>
    <definedName name="XDO_?XDOFIELD22?">#REF!</definedName>
    <definedName name="XDO_?XDOFIELD23?">#REF!</definedName>
    <definedName name="XDO_?XDOFIELD24?">#REF!</definedName>
    <definedName name="XDO_?XDOFIELD25?">#REF!</definedName>
    <definedName name="XDO_?XDOFIELD26?">#REF!</definedName>
    <definedName name="XDO_?XDOFIELD27?">#REF!</definedName>
    <definedName name="XDO_?XDOFIELD28?">#REF!</definedName>
    <definedName name="XDO_?XDOFIELD29?">#REF!</definedName>
    <definedName name="XDO_?XDOFIELD3?">#REF!</definedName>
    <definedName name="XDO_?XDOFIELD30?">#REF!</definedName>
    <definedName name="XDO_?XDOFIELD31?">#REF!</definedName>
    <definedName name="XDO_?XDOFIELD32?">#REF!</definedName>
    <definedName name="XDO_?XDOFIELD33?">#REF!</definedName>
    <definedName name="XDO_?XDOFIELD34?">#REF!</definedName>
    <definedName name="XDO_?XDOFIELD35?">#REF!</definedName>
    <definedName name="XDO_?XDOFIELD36?">#REF!</definedName>
    <definedName name="XDO_?XDOFIELD37?">#REF!</definedName>
    <definedName name="XDO_?XDOFIELD38?">#REF!</definedName>
    <definedName name="XDO_?XDOFIELD39?">#REF!</definedName>
    <definedName name="XDO_?XDOFIELD4?">#REF!</definedName>
    <definedName name="XDO_?XDOFIELD40?">#REF!</definedName>
    <definedName name="XDO_?XDOFIELD41?">#REF!</definedName>
    <definedName name="XDO_?XDOFIELD42?">#REF!</definedName>
    <definedName name="XDO_?XDOFIELD43?">#REF!</definedName>
    <definedName name="XDO_?XDOFIELD44?">#REF!</definedName>
    <definedName name="XDO_?XDOFIELD5?">#REF!</definedName>
    <definedName name="XDO_?XDOFIELD6?">#REF!</definedName>
    <definedName name="XDO_?XDOFIELD7?">#REF!</definedName>
    <definedName name="XDO_?XDOFIELD8?">#REF!</definedName>
    <definedName name="XDO_?XDOFIELD9?">#REF!</definedName>
    <definedName name="XDO_GROUP_?XDOG1?">#REF!</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<sst xmlns="http://schemas.openxmlformats.org/spreadsheetml/2006/main" count="69" uniqueCount="69">
  <si>
    <t xml:space="preserve">Financial Plan Notes </t>
  </si>
  <si>
    <t>Ending Undesignated Fund Balance</t>
  </si>
  <si>
    <t xml:space="preserve">Reserve Shortfall </t>
  </si>
  <si>
    <t>Total Reserves</t>
  </si>
  <si>
    <t>Cash Flow Reserve</t>
  </si>
  <si>
    <t>Expenditure Reserve</t>
  </si>
  <si>
    <t>Reserves</t>
  </si>
  <si>
    <t>Ending Fund Balance</t>
  </si>
  <si>
    <t>GAAP Adjustments</t>
  </si>
  <si>
    <t>Total Expenditures</t>
  </si>
  <si>
    <t>Contingencies and Contras</t>
  </si>
  <si>
    <t xml:space="preserve">Expenditures </t>
  </si>
  <si>
    <t>Total Revenues</t>
  </si>
  <si>
    <t>HVMC Contract</t>
  </si>
  <si>
    <t>KC General Fund Flexible</t>
  </si>
  <si>
    <t>State Flexible</t>
  </si>
  <si>
    <t>Intragovernmental</t>
  </si>
  <si>
    <t>Revenues</t>
  </si>
  <si>
    <t xml:space="preserve">Beginning Fund Balance </t>
  </si>
  <si>
    <t>BTD Actuals percent of Budget (100% target)</t>
  </si>
  <si>
    <t>Diff: Actuals to Current Budget</t>
  </si>
  <si>
    <t>2017 Q2 Estimated</t>
  </si>
  <si>
    <t>2017 Q1 
Estimated</t>
  </si>
  <si>
    <r>
      <t>2017-2018 Current Budget</t>
    </r>
    <r>
      <rPr>
        <b/>
        <vertAlign val="superscript"/>
        <sz val="12"/>
        <rFont val="Calibri"/>
        <family val="2"/>
        <scheme val="minor"/>
      </rPr>
      <t>3</t>
    </r>
  </si>
  <si>
    <r>
      <t>2017-2018 Adopted Budget</t>
    </r>
    <r>
      <rPr>
        <b/>
        <vertAlign val="superscript"/>
        <sz val="12"/>
        <rFont val="Calibri"/>
        <family val="2"/>
        <scheme val="minor"/>
      </rPr>
      <t>2</t>
    </r>
  </si>
  <si>
    <r>
      <t>2015/2016 Actuals</t>
    </r>
    <r>
      <rPr>
        <b/>
        <vertAlign val="superscript"/>
        <sz val="12"/>
        <rFont val="Calibri"/>
        <family val="2"/>
        <scheme val="minor"/>
      </rPr>
      <t>1</t>
    </r>
  </si>
  <si>
    <t>Category</t>
  </si>
  <si>
    <t>Variance Analysis</t>
  </si>
  <si>
    <t>Public Health Operating Fund / 000001800</t>
  </si>
  <si>
    <t>2017-2018 Estimated
(as of Q3)</t>
  </si>
  <si>
    <t>Other Revenues</t>
  </si>
  <si>
    <t>Supplies and Office Equipment</t>
  </si>
  <si>
    <t>2017-2018 Estimated 
(as of 2017 Q4)</t>
  </si>
  <si>
    <t>2017-2018 Estimated 
(as of 2018 Q1)</t>
  </si>
  <si>
    <t>Overhead</t>
  </si>
  <si>
    <t>2017-2018 Estimated 
(as of 2018 Q2)</t>
  </si>
  <si>
    <t>2018 Q6 Estimated percent of 2018 Q5 Estimated</t>
  </si>
  <si>
    <t>Diff: Q7 Estimated to Current Budget</t>
  </si>
  <si>
    <t>Q7 Estimated percent of Current Budget</t>
  </si>
  <si>
    <t>Diff: 2018 Q7 Estimated to 2018 Q6 Estimated</t>
  </si>
  <si>
    <t xml:space="preserve">City of Seattle </t>
  </si>
  <si>
    <t xml:space="preserve">Medical Supplies &amp; Pharmaceuticals </t>
  </si>
  <si>
    <t>Fees for Services</t>
  </si>
  <si>
    <t xml:space="preserve">Grants </t>
  </si>
  <si>
    <t>Medicaid Administration</t>
  </si>
  <si>
    <t xml:space="preserve">Patient Generated Revenue </t>
  </si>
  <si>
    <t xml:space="preserve">Best Starts for Kids Levy Revenue </t>
  </si>
  <si>
    <t xml:space="preserve">Foundational Public Health Revenue </t>
  </si>
  <si>
    <t xml:space="preserve">Personnel </t>
  </si>
  <si>
    <t xml:space="preserve">Contracts </t>
  </si>
  <si>
    <t xml:space="preserve">Facilities and Motor Vehicle </t>
  </si>
  <si>
    <t xml:space="preserve">Other Expense </t>
  </si>
  <si>
    <t xml:space="preserve">One time Expenditures </t>
  </si>
  <si>
    <t>2019-2020 Estimated</t>
  </si>
  <si>
    <r>
      <t>2017-2018 Biennial-to-Date Actuals</t>
    </r>
    <r>
      <rPr>
        <b/>
        <vertAlign val="superscript"/>
        <sz val="12"/>
        <rFont val="Calibri"/>
        <family val="2"/>
        <scheme val="minor"/>
      </rPr>
      <t>1</t>
    </r>
  </si>
  <si>
    <t>This plan was updated by Laura Pitarys on 2/22/2019.</t>
  </si>
  <si>
    <t>2019-2020 Current Budget</t>
  </si>
  <si>
    <t>2019-2020 1st Omnibus Financial Plan</t>
  </si>
  <si>
    <t>Revenues Notes:
2019-2020 revenues include increased funding from the City of Seattle, State Foundational Public Health Services, Best Starts For Kids Levy, and Veterans, Seniors and Human Services Levy. The revenue budget also reflects a decline in Patient Generated Revenue and federal grants in 2019-2020.</t>
  </si>
  <si>
    <t>Expenditure Notes: N/A</t>
  </si>
  <si>
    <t>Reserve Notes:
The rainy day reserve was calculated using a 30 day expenditures average, adjusted for inter-County revenues, including KC General Fund, Best Starts for Kids, the Mental Illness and Drug Dependency fund, and the Veterans, Seniors and Human Services Levy.</t>
  </si>
  <si>
    <t>2019-2020 Biennial-to-Date Actuals</t>
  </si>
  <si>
    <t>2021-2022 Projected</t>
  </si>
  <si>
    <t>2023-2024 Projected</t>
  </si>
  <si>
    <t>One time Revenues</t>
  </si>
  <si>
    <t>Rainy Day Reserve (30 days)</t>
  </si>
  <si>
    <t>2019-2020 Adopted</t>
  </si>
  <si>
    <t>2017-2018 Actuals</t>
  </si>
  <si>
    <t xml:space="preserve">All financial plans have the following assumptions, unless otherwise noted in below rows. 2017-2018 Actuals reflect actual revenues and  expenditures through 3/13/19, before the close of the 2018 adjustment period
2019-2020 Adopted Budget ties to PBCS; 2019-2020 Estimated includes the impact of the proposed supplemental appropriation.
Outyear revenue and expenditure inflation assumptions are consistent with figures provided by PSB and/or OEFA.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</si>
</sst>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4" formatCode="_(* #,##0_);_(* \(#,##0\);_(* &quot;-&quot;??_);_(@_)"/>
  </numFmts>
  <fonts count="12">
    <font>
      <sz val="11"/>
      <color theme="1"/>
      <name val="Calibri"/>
      <family val="2"/>
      <scheme val="minor"/>
    </font>
    <font>
      <sz val="10"/>
      <name val="Arial"/>
      <family val="2"/>
    </font>
    <font>
      <b/>
      <sz val="11"/>
      <color theme="1"/>
      <name val="Calibri"/>
      <family val="2"/>
      <scheme val="minor"/>
    </font>
    <font>
      <sz val="11"/>
      <name val="Calibri"/>
      <family val="2"/>
      <scheme val="minor"/>
    </font>
    <font>
      <vertAlign val="superscript"/>
      <sz val="11"/>
      <color theme="1"/>
      <name val="Calibri"/>
      <family val="2"/>
      <scheme val="minor"/>
    </font>
    <font>
      <sz val="12"/>
      <name val="Times New Roman"/>
      <family val="1"/>
    </font>
    <font>
      <sz val="12"/>
      <name val="Calibri"/>
      <family val="2"/>
      <scheme val="minor"/>
    </font>
    <font>
      <b/>
      <sz val="12"/>
      <name val="Calibri"/>
      <family val="2"/>
      <scheme val="minor"/>
    </font>
    <font>
      <b/>
      <sz val="11"/>
      <name val="Calibri"/>
      <family val="2"/>
      <scheme val="minor"/>
    </font>
    <font>
      <b/>
      <vertAlign val="superscript"/>
      <sz val="12"/>
      <name val="Calibri"/>
      <family val="2"/>
      <scheme val="minor"/>
    </font>
    <font>
      <b/>
      <sz val="12"/>
      <color rgb="FFFF0000"/>
      <name val="Calibri"/>
      <family val="2"/>
      <scheme val="minor"/>
    </font>
    <font>
      <sz val="10"/>
      <color indexed="8"/>
      <name val="Arial"/>
      <family val="2"/>
    </font>
  </fonts>
  <fills count="9">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FAD6D6"/>
        <bgColor indexed="64"/>
      </patternFill>
    </fill>
    <fill>
      <patternFill patternType="solid">
        <fgColor theme="5" tint="0.7999799847602844"/>
        <bgColor indexed="64"/>
      </patternFill>
    </fill>
    <fill>
      <patternFill patternType="solid">
        <fgColor theme="0" tint="-0.24997000396251678"/>
        <bgColor indexed="64"/>
      </patternFill>
    </fill>
  </fills>
  <borders count="20">
    <border>
      <left/>
      <right/>
      <top/>
      <bottom/>
      <diagonal/>
    </border>
    <border>
      <left style="thin"/>
      <right style="thin"/>
      <top style="thin"/>
      <bottom style="thin"/>
    </border>
    <border>
      <left/>
      <right/>
      <top style="thin"/>
      <bottom style="thin"/>
    </border>
    <border>
      <left style="thin"/>
      <right style="thin"/>
      <top style="hair"/>
      <bottom style="hair"/>
    </border>
    <border>
      <left style="thin"/>
      <right style="thin"/>
      <top/>
      <bottom style="thin"/>
    </border>
    <border>
      <left/>
      <right/>
      <top style="hair"/>
      <bottom style="hair"/>
    </border>
    <border>
      <left style="thin"/>
      <right style="thin"/>
      <top/>
      <bottom/>
    </border>
    <border>
      <left/>
      <right style="thin"/>
      <top/>
      <bottom/>
    </border>
    <border>
      <left/>
      <right/>
      <top/>
      <bottom style="thin"/>
    </border>
    <border>
      <left style="thin"/>
      <right/>
      <top/>
      <bottom style="thin"/>
    </border>
    <border>
      <left style="thin"/>
      <right/>
      <top style="hair"/>
      <bottom style="hair"/>
    </border>
    <border>
      <left style="thin"/>
      <right style="thin"/>
      <top style="thin"/>
      <bottom/>
    </border>
    <border>
      <left style="thin"/>
      <right/>
      <top style="thin"/>
      <bottom/>
    </border>
    <border>
      <left style="thin"/>
      <right/>
      <top/>
      <bottom/>
    </border>
    <border>
      <left style="thin"/>
      <right/>
      <top style="thin"/>
      <bottom style="thin"/>
    </border>
    <border>
      <left style="thin"/>
      <right style="thin"/>
      <top style="thin"/>
      <bottom style="hair"/>
    </border>
    <border>
      <left/>
      <right/>
      <top/>
      <bottom style="hair"/>
    </border>
    <border>
      <left style="thin"/>
      <right style="thin"/>
      <top/>
      <bottom style="hair"/>
    </border>
    <border>
      <left style="thin"/>
      <right/>
      <top/>
      <bottom style="hair"/>
    </border>
    <border>
      <left/>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5" fillId="0" borderId="0">
      <alignment/>
      <protection/>
    </xf>
    <xf numFmtId="37" fontId="5" fillId="0" borderId="0">
      <alignment/>
      <protection/>
    </xf>
    <xf numFmtId="43" fontId="1" fillId="0" borderId="0" applyFont="0" applyFill="0" applyBorder="0" applyAlignment="0" applyProtection="0"/>
    <xf numFmtId="0" fontId="1" fillId="0" borderId="0">
      <alignment/>
      <protection/>
    </xf>
    <xf numFmtId="0" fontId="11" fillId="0" borderId="0">
      <alignment vertical="top"/>
      <protection/>
    </xf>
    <xf numFmtId="0" fontId="0" fillId="0" borderId="0">
      <alignment/>
      <protection/>
    </xf>
  </cellStyleXfs>
  <cellXfs count="130">
    <xf numFmtId="0" fontId="0" fillId="0" borderId="0" xfId="0"/>
    <xf numFmtId="0" fontId="3" fillId="0" borderId="0" xfId="0" applyFont="1" applyFill="1" applyAlignment="1">
      <alignment vertical="top" wrapText="1"/>
    </xf>
    <xf numFmtId="0" fontId="0" fillId="0" borderId="0" xfId="0" applyProtection="1">
      <protection locked="0"/>
    </xf>
    <xf numFmtId="0" fontId="0" fillId="2" borderId="0" xfId="0" applyFill="1"/>
    <xf numFmtId="9" fontId="3" fillId="3" borderId="1" xfId="15" applyFont="1" applyFill="1" applyBorder="1" applyAlignment="1">
      <alignment horizontal="right"/>
    </xf>
    <xf numFmtId="164" fontId="3" fillId="3" borderId="1" xfId="21" applyNumberFormat="1" applyFont="1" applyFill="1" applyBorder="1" applyAlignment="1">
      <alignment horizontal="right"/>
      <protection/>
    </xf>
    <xf numFmtId="0" fontId="0" fillId="2" borderId="2" xfId="0" applyFill="1" applyBorder="1"/>
    <xf numFmtId="164" fontId="7" fillId="0" borderId="1" xfId="18" applyNumberFormat="1" applyFont="1" applyFill="1" applyBorder="1" applyAlignment="1">
      <alignment horizontal="right" vertical="center" indent="1"/>
    </xf>
    <xf numFmtId="37" fontId="7" fillId="0" borderId="1" xfId="20" applyFont="1" applyFill="1" applyBorder="1" applyAlignment="1" applyProtection="1">
      <alignment horizontal="left" vertical="center"/>
      <protection locked="0"/>
    </xf>
    <xf numFmtId="9" fontId="3" fillId="3" borderId="3" xfId="15" applyFont="1" applyFill="1" applyBorder="1" applyAlignment="1">
      <alignment horizontal="right" vertical="center"/>
    </xf>
    <xf numFmtId="164" fontId="3" fillId="3" borderId="3" xfId="21" applyNumberFormat="1" applyFont="1" applyFill="1" applyBorder="1" applyAlignment="1">
      <alignment horizontal="right" vertical="center"/>
      <protection/>
    </xf>
    <xf numFmtId="164" fontId="7" fillId="0" borderId="4" xfId="18" applyNumberFormat="1" applyFont="1" applyFill="1" applyBorder="1" applyAlignment="1">
      <alignment horizontal="right" vertical="center" indent="1"/>
    </xf>
    <xf numFmtId="164" fontId="7" fillId="0" borderId="4" xfId="20" applyNumberFormat="1" applyFont="1" applyFill="1" applyBorder="1" applyAlignment="1">
      <alignment horizontal="right" vertical="center" indent="1"/>
      <protection/>
    </xf>
    <xf numFmtId="37" fontId="7" fillId="0" borderId="4" xfId="20" applyFont="1" applyFill="1" applyBorder="1" applyAlignment="1" applyProtection="1">
      <alignment horizontal="left" vertical="center"/>
      <protection locked="0"/>
    </xf>
    <xf numFmtId="9" fontId="3" fillId="3" borderId="3" xfId="15" applyFont="1" applyFill="1" applyBorder="1" applyAlignment="1">
      <alignment horizontal="right"/>
    </xf>
    <xf numFmtId="164" fontId="3" fillId="3" borderId="3" xfId="21" applyNumberFormat="1" applyFont="1" applyFill="1" applyBorder="1" applyAlignment="1">
      <alignment horizontal="right"/>
      <protection/>
    </xf>
    <xf numFmtId="0" fontId="0" fillId="2" borderId="5" xfId="0" applyFont="1" applyFill="1" applyBorder="1"/>
    <xf numFmtId="164" fontId="6" fillId="0" borderId="6" xfId="22" applyNumberFormat="1" applyFont="1" applyFill="1" applyBorder="1" applyAlignment="1">
      <alignment horizontal="right" vertical="center" indent="1"/>
    </xf>
    <xf numFmtId="37" fontId="6" fillId="0" borderId="6" xfId="20" applyFont="1" applyFill="1" applyBorder="1" applyAlignment="1" applyProtection="1">
      <alignment horizontal="left" vertical="center"/>
      <protection locked="0"/>
    </xf>
    <xf numFmtId="9" fontId="8" fillId="3" borderId="3" xfId="15" applyFont="1" applyFill="1" applyBorder="1" applyAlignment="1">
      <alignment horizontal="right"/>
    </xf>
    <xf numFmtId="164" fontId="8" fillId="3" borderId="3" xfId="21" applyNumberFormat="1" applyFont="1" applyFill="1" applyBorder="1" applyAlignment="1">
      <alignment horizontal="right"/>
      <protection/>
    </xf>
    <xf numFmtId="0" fontId="2" fillId="2" borderId="5" xfId="0" applyFont="1" applyFill="1" applyBorder="1"/>
    <xf numFmtId="164" fontId="7" fillId="0" borderId="6" xfId="22" applyNumberFormat="1" applyFont="1" applyFill="1" applyBorder="1" applyAlignment="1">
      <alignment horizontal="right" vertical="center" indent="1"/>
    </xf>
    <xf numFmtId="37" fontId="7" fillId="0" borderId="6" xfId="20" applyFont="1" applyFill="1" applyBorder="1" applyAlignment="1" applyProtection="1">
      <alignment horizontal="left" vertical="center"/>
      <protection locked="0"/>
    </xf>
    <xf numFmtId="0" fontId="0" fillId="2" borderId="5" xfId="0" applyFill="1" applyBorder="1"/>
    <xf numFmtId="0" fontId="0" fillId="2" borderId="0" xfId="0" applyFill="1" applyProtection="1">
      <protection locked="0"/>
    </xf>
    <xf numFmtId="164" fontId="6" fillId="0" borderId="6" xfId="18" applyNumberFormat="1" applyFont="1" applyFill="1" applyBorder="1" applyAlignment="1" applyProtection="1">
      <alignment horizontal="right" vertical="center" indent="1"/>
      <protection locked="0"/>
    </xf>
    <xf numFmtId="37" fontId="6" fillId="0" borderId="6" xfId="20" applyFont="1" applyFill="1" applyBorder="1" applyAlignment="1" applyProtection="1">
      <alignment horizontal="left"/>
      <protection locked="0"/>
    </xf>
    <xf numFmtId="164" fontId="6" fillId="2" borderId="6" xfId="22" applyNumberFormat="1" applyFont="1" applyFill="1" applyBorder="1" applyAlignment="1" applyProtection="1">
      <alignment horizontal="right" vertical="center" indent="1"/>
      <protection locked="0"/>
    </xf>
    <xf numFmtId="164" fontId="6" fillId="0" borderId="6" xfId="22" applyNumberFormat="1" applyFont="1" applyFill="1" applyBorder="1" applyAlignment="1" applyProtection="1">
      <alignment horizontal="right" vertical="center" indent="1"/>
      <protection locked="0"/>
    </xf>
    <xf numFmtId="164" fontId="6" fillId="0" borderId="7" xfId="22" applyNumberFormat="1" applyFont="1" applyFill="1" applyBorder="1" applyAlignment="1" applyProtection="1">
      <alignment horizontal="right" vertical="center" indent="1"/>
      <protection locked="0"/>
    </xf>
    <xf numFmtId="9" fontId="3" fillId="3" borderId="6" xfId="15" applyFont="1" applyFill="1" applyBorder="1" applyAlignment="1" quotePrefix="1">
      <alignment vertical="center"/>
    </xf>
    <xf numFmtId="164" fontId="3" fillId="3" borderId="6" xfId="22" applyNumberFormat="1" applyFont="1" applyFill="1" applyBorder="1" applyAlignment="1" quotePrefix="1">
      <alignment vertical="center"/>
    </xf>
    <xf numFmtId="164" fontId="7" fillId="0" borderId="6" xfId="20" applyNumberFormat="1" applyFont="1" applyFill="1" applyBorder="1" applyAlignment="1">
      <alignment horizontal="right" vertical="center" indent="1"/>
      <protection/>
    </xf>
    <xf numFmtId="9" fontId="8" fillId="3" borderId="1" xfId="15" applyFont="1" applyFill="1" applyBorder="1" applyAlignment="1">
      <alignment horizontal="right"/>
    </xf>
    <xf numFmtId="164" fontId="8" fillId="3" borderId="1" xfId="21" applyNumberFormat="1" applyFont="1" applyFill="1" applyBorder="1" applyAlignment="1">
      <alignment horizontal="right"/>
      <protection/>
    </xf>
    <xf numFmtId="0" fontId="2" fillId="2" borderId="2" xfId="0" applyFont="1" applyFill="1" applyBorder="1"/>
    <xf numFmtId="164" fontId="7" fillId="0" borderId="1" xfId="22" applyNumberFormat="1" applyFont="1" applyFill="1" applyBorder="1" applyAlignment="1">
      <alignment horizontal="right" vertical="center" indent="1"/>
    </xf>
    <xf numFmtId="164" fontId="7" fillId="0" borderId="4" xfId="22" applyNumberFormat="1" applyFont="1" applyFill="1" applyBorder="1" applyAlignment="1">
      <alignment horizontal="right" vertical="center" indent="1"/>
    </xf>
    <xf numFmtId="9" fontId="3" fillId="3" borderId="4" xfId="15" applyFont="1" applyFill="1" applyBorder="1" applyAlignment="1">
      <alignment horizontal="right"/>
    </xf>
    <xf numFmtId="164" fontId="3" fillId="3" borderId="4" xfId="21" applyNumberFormat="1" applyFont="1" applyFill="1" applyBorder="1" applyAlignment="1">
      <alignment horizontal="right"/>
      <protection/>
    </xf>
    <xf numFmtId="0" fontId="0" fillId="2" borderId="8" xfId="0" applyFill="1" applyBorder="1"/>
    <xf numFmtId="164" fontId="6" fillId="0" borderId="4" xfId="22" applyNumberFormat="1" applyFont="1" applyFill="1" applyBorder="1" applyAlignment="1" applyProtection="1">
      <alignment horizontal="right" vertical="center" indent="1"/>
      <protection locked="0"/>
    </xf>
    <xf numFmtId="164" fontId="6" fillId="0" borderId="9" xfId="20" applyNumberFormat="1" applyFont="1" applyFill="1" applyBorder="1" applyAlignment="1" applyProtection="1">
      <alignment horizontal="right" indent="1"/>
      <protection locked="0"/>
    </xf>
    <xf numFmtId="37" fontId="6" fillId="0" borderId="4" xfId="20" applyFont="1" applyFill="1" applyBorder="1" applyAlignment="1" applyProtection="1">
      <alignment horizontal="left"/>
      <protection locked="0"/>
    </xf>
    <xf numFmtId="164" fontId="6" fillId="2" borderId="3" xfId="21" applyNumberFormat="1" applyFont="1" applyFill="1" applyBorder="1" applyAlignment="1" applyProtection="1">
      <alignment horizontal="right" indent="1"/>
      <protection locked="0"/>
    </xf>
    <xf numFmtId="164" fontId="6" fillId="0" borderId="3" xfId="21" applyNumberFormat="1" applyFont="1" applyFill="1" applyBorder="1" applyAlignment="1" applyProtection="1">
      <alignment horizontal="right" indent="1"/>
      <protection locked="0"/>
    </xf>
    <xf numFmtId="164" fontId="6" fillId="2" borderId="10" xfId="20" applyNumberFormat="1" applyFont="1" applyFill="1" applyBorder="1" applyAlignment="1" applyProtection="1">
      <alignment horizontal="right" indent="1"/>
      <protection locked="0"/>
    </xf>
    <xf numFmtId="37" fontId="6" fillId="2" borderId="3" xfId="20" applyFont="1" applyFill="1" applyBorder="1" applyAlignment="1" applyProtection="1">
      <alignment horizontal="left"/>
      <protection locked="0"/>
    </xf>
    <xf numFmtId="9" fontId="3" fillId="3" borderId="11" xfId="15" applyFont="1" applyFill="1" applyBorder="1" applyAlignment="1">
      <alignment vertical="center"/>
    </xf>
    <xf numFmtId="164" fontId="6" fillId="0" borderId="11" xfId="21" applyNumberFormat="1" applyFont="1" applyFill="1" applyBorder="1" applyAlignment="1" applyProtection="1">
      <alignment horizontal="right" indent="1"/>
      <protection locked="0"/>
    </xf>
    <xf numFmtId="164" fontId="6" fillId="2" borderId="12" xfId="20" applyNumberFormat="1" applyFont="1" applyFill="1" applyBorder="1" applyAlignment="1" applyProtection="1">
      <alignment horizontal="right" indent="1"/>
      <protection locked="0"/>
    </xf>
    <xf numFmtId="37" fontId="6" fillId="2" borderId="11" xfId="20" applyFont="1" applyFill="1" applyBorder="1" applyAlignment="1" applyProtection="1">
      <alignment horizontal="left" vertical="center"/>
      <protection locked="0"/>
    </xf>
    <xf numFmtId="164" fontId="6" fillId="2" borderId="13" xfId="20" applyNumberFormat="1" applyFont="1" applyFill="1" applyBorder="1" applyAlignment="1" applyProtection="1">
      <alignment horizontal="right" indent="1"/>
      <protection locked="0"/>
    </xf>
    <xf numFmtId="37" fontId="7" fillId="2" borderId="6" xfId="20" applyFont="1" applyFill="1" applyBorder="1" applyAlignment="1" applyProtection="1">
      <alignment horizontal="left" vertical="center"/>
      <protection locked="0"/>
    </xf>
    <xf numFmtId="164" fontId="7" fillId="2" borderId="14" xfId="22" applyNumberFormat="1" applyFont="1" applyFill="1" applyBorder="1" applyAlignment="1">
      <alignment horizontal="right" vertical="center" indent="1"/>
    </xf>
    <xf numFmtId="164" fontId="7" fillId="0" borderId="14" xfId="22" applyNumberFormat="1" applyFont="1" applyFill="1" applyBorder="1" applyAlignment="1">
      <alignment horizontal="right" vertical="center" indent="1"/>
    </xf>
    <xf numFmtId="37" fontId="7" fillId="2" borderId="1" xfId="20" applyFont="1" applyFill="1" applyBorder="1" applyAlignment="1" applyProtection="1">
      <alignment horizontal="left" vertical="center"/>
      <protection locked="0"/>
    </xf>
    <xf numFmtId="164" fontId="3" fillId="3" borderId="6" xfId="21" applyNumberFormat="1" applyFont="1" applyFill="1" applyBorder="1" applyAlignment="1">
      <alignment horizontal="right"/>
      <protection/>
    </xf>
    <xf numFmtId="164" fontId="6" fillId="0" borderId="6" xfId="21" applyNumberFormat="1" applyFont="1" applyFill="1" applyBorder="1" applyAlignment="1" applyProtection="1">
      <alignment horizontal="right" indent="1"/>
      <protection locked="0"/>
    </xf>
    <xf numFmtId="37" fontId="6" fillId="2" borderId="6" xfId="20" applyFont="1" applyFill="1" applyBorder="1" applyAlignment="1" applyProtection="1">
      <alignment horizontal="left"/>
      <protection locked="0"/>
    </xf>
    <xf numFmtId="0" fontId="0" fillId="0" borderId="5" xfId="0" applyFill="1" applyBorder="1"/>
    <xf numFmtId="9" fontId="3" fillId="3" borderId="15" xfId="15" applyFont="1" applyFill="1" applyBorder="1" applyAlignment="1">
      <alignment vertical="center"/>
    </xf>
    <xf numFmtId="164" fontId="3" fillId="3" borderId="15" xfId="22" applyNumberFormat="1" applyFont="1" applyFill="1" applyBorder="1" applyAlignment="1">
      <alignment vertical="center"/>
    </xf>
    <xf numFmtId="0" fontId="0" fillId="2" borderId="16" xfId="0" applyFill="1" applyBorder="1"/>
    <xf numFmtId="164" fontId="6" fillId="2" borderId="17" xfId="21" applyNumberFormat="1" applyFont="1" applyFill="1" applyBorder="1" applyAlignment="1" applyProtection="1">
      <alignment horizontal="right" indent="1"/>
      <protection locked="0"/>
    </xf>
    <xf numFmtId="164" fontId="6" fillId="0" borderId="17" xfId="21" applyNumberFormat="1" applyFont="1" applyFill="1" applyBorder="1" applyAlignment="1" applyProtection="1">
      <alignment horizontal="right" indent="1"/>
      <protection locked="0"/>
    </xf>
    <xf numFmtId="164" fontId="6" fillId="2" borderId="18" xfId="20" applyNumberFormat="1" applyFont="1" applyFill="1" applyBorder="1" applyAlignment="1" applyProtection="1">
      <alignment horizontal="right" indent="1"/>
      <protection locked="0"/>
    </xf>
    <xf numFmtId="37" fontId="6" fillId="2" borderId="17" xfId="20" applyFont="1" applyFill="1" applyBorder="1" applyAlignment="1" applyProtection="1">
      <alignment horizontal="left"/>
      <protection locked="0"/>
    </xf>
    <xf numFmtId="164" fontId="7" fillId="2" borderId="1" xfId="22" applyNumberFormat="1" applyFont="1" applyFill="1" applyBorder="1" applyAlignment="1" applyProtection="1">
      <alignment horizontal="right" indent="1"/>
      <protection/>
    </xf>
    <xf numFmtId="164" fontId="7" fillId="0" borderId="1" xfId="22" applyNumberFormat="1" applyFont="1" applyFill="1" applyBorder="1" applyAlignment="1" applyProtection="1">
      <alignment horizontal="right" indent="1"/>
      <protection/>
    </xf>
    <xf numFmtId="164" fontId="7" fillId="2" borderId="1" xfId="22" applyNumberFormat="1" applyFont="1" applyFill="1" applyBorder="1" applyAlignment="1" applyProtection="1">
      <alignment horizontal="right" indent="1"/>
      <protection locked="0"/>
    </xf>
    <xf numFmtId="42" fontId="8" fillId="0" borderId="14" xfId="22" applyNumberFormat="1" applyFont="1" applyFill="1" applyBorder="1" applyAlignment="1">
      <alignment/>
    </xf>
    <xf numFmtId="37" fontId="7" fillId="2" borderId="1" xfId="20" applyFont="1" applyFill="1" applyBorder="1" applyAlignment="1" applyProtection="1">
      <alignment horizontal="left"/>
      <protection locked="0"/>
    </xf>
    <xf numFmtId="37" fontId="8" fillId="3" borderId="4" xfId="20" applyFont="1" applyFill="1" applyBorder="1" applyAlignment="1">
      <alignment horizontal="center" wrapText="1"/>
      <protection/>
    </xf>
    <xf numFmtId="37" fontId="7" fillId="2" borderId="1" xfId="20" applyFont="1" applyFill="1" applyBorder="1" applyAlignment="1">
      <alignment horizontal="center" wrapText="1"/>
      <protection/>
    </xf>
    <xf numFmtId="37" fontId="7" fillId="2" borderId="1" xfId="20" applyFont="1" applyFill="1" applyBorder="1" applyAlignment="1" applyProtection="1">
      <alignment horizontal="left" wrapText="1"/>
      <protection/>
    </xf>
    <xf numFmtId="0" fontId="7" fillId="2" borderId="0" xfId="0" applyFont="1" applyFill="1" applyAlignment="1">
      <alignment horizontal="center"/>
    </xf>
    <xf numFmtId="0" fontId="2" fillId="0" borderId="8" xfId="0" applyFont="1" applyFill="1" applyBorder="1" applyAlignment="1" applyProtection="1">
      <alignment horizontal="center"/>
      <protection locked="0"/>
    </xf>
    <xf numFmtId="164" fontId="0" fillId="0" borderId="0" xfId="0" applyNumberFormat="1" applyProtection="1">
      <protection locked="0"/>
    </xf>
    <xf numFmtId="43" fontId="0" fillId="0" borderId="0" xfId="0" applyNumberFormat="1" applyProtection="1">
      <protection locked="0"/>
    </xf>
    <xf numFmtId="164" fontId="0" fillId="2" borderId="0" xfId="0" applyNumberFormat="1" applyFill="1" applyProtection="1">
      <protection locked="0"/>
    </xf>
    <xf numFmtId="164" fontId="2" fillId="0" borderId="8" xfId="0" applyNumberFormat="1" applyFont="1" applyFill="1" applyBorder="1" applyAlignment="1" applyProtection="1">
      <alignment horizontal="center"/>
      <protection locked="0"/>
    </xf>
    <xf numFmtId="0" fontId="4" fillId="0" borderId="0" xfId="0" applyFont="1" applyAlignment="1">
      <alignment vertical="center"/>
    </xf>
    <xf numFmtId="37" fontId="7" fillId="0" borderId="0" xfId="20" applyFont="1" applyFill="1" applyAlignment="1" applyProtection="1">
      <alignment horizontal="left"/>
      <protection locked="0"/>
    </xf>
    <xf numFmtId="37" fontId="7" fillId="0" borderId="0" xfId="20" applyFont="1" applyFill="1" applyAlignment="1">
      <alignment horizontal="left"/>
      <protection/>
    </xf>
    <xf numFmtId="0" fontId="0" fillId="0" borderId="0" xfId="0" applyFill="1"/>
    <xf numFmtId="0" fontId="0" fillId="0" borderId="0" xfId="0" applyFill="1" applyProtection="1">
      <protection locked="0"/>
    </xf>
    <xf numFmtId="164" fontId="6" fillId="2" borderId="1" xfId="22" applyNumberFormat="1" applyFont="1" applyFill="1" applyBorder="1" applyAlignment="1" applyProtection="1">
      <alignment horizontal="right" vertical="center" indent="1"/>
      <protection locked="0"/>
    </xf>
    <xf numFmtId="164" fontId="3" fillId="3" borderId="17" xfId="21" applyNumberFormat="1" applyFont="1" applyFill="1" applyBorder="1" applyAlignment="1">
      <alignment horizontal="right"/>
      <protection/>
    </xf>
    <xf numFmtId="9" fontId="3" fillId="3" borderId="17" xfId="15" applyFont="1" applyFill="1" applyBorder="1" applyAlignment="1">
      <alignment horizontal="right"/>
    </xf>
    <xf numFmtId="164" fontId="3" fillId="4" borderId="3" xfId="21" applyNumberFormat="1" applyFont="1" applyFill="1" applyBorder="1" applyAlignment="1">
      <alignment horizontal="right"/>
      <protection/>
    </xf>
    <xf numFmtId="164" fontId="3" fillId="5" borderId="3" xfId="21" applyNumberFormat="1" applyFont="1" applyFill="1" applyBorder="1" applyAlignment="1">
      <alignment horizontal="right"/>
      <protection/>
    </xf>
    <xf numFmtId="164" fontId="3" fillId="6" borderId="17" xfId="21" applyNumberFormat="1" applyFont="1" applyFill="1" applyBorder="1" applyAlignment="1">
      <alignment horizontal="right"/>
      <protection/>
    </xf>
    <xf numFmtId="164" fontId="8" fillId="7" borderId="1" xfId="21" applyNumberFormat="1" applyFont="1" applyFill="1" applyBorder="1" applyAlignment="1">
      <alignment horizontal="right"/>
      <protection/>
    </xf>
    <xf numFmtId="164" fontId="6" fillId="0" borderId="1" xfId="22" applyNumberFormat="1" applyFont="1" applyFill="1" applyBorder="1" applyAlignment="1" applyProtection="1">
      <alignment horizontal="right" vertical="center" indent="1"/>
      <protection locked="0"/>
    </xf>
    <xf numFmtId="0" fontId="3" fillId="0" borderId="0" xfId="0" applyFont="1" applyFill="1"/>
    <xf numFmtId="0" fontId="3" fillId="0" borderId="0" xfId="0" applyFont="1"/>
    <xf numFmtId="0" fontId="3" fillId="2" borderId="0" xfId="0" applyFont="1" applyFill="1" applyAlignment="1">
      <alignment vertical="center" wrapText="1"/>
    </xf>
    <xf numFmtId="37" fontId="6" fillId="2" borderId="3" xfId="20" applyFont="1" applyFill="1" applyBorder="1" applyAlignment="1" applyProtection="1">
      <alignment/>
      <protection locked="0"/>
    </xf>
    <xf numFmtId="37" fontId="6" fillId="0" borderId="3" xfId="20" applyFont="1" applyFill="1" applyBorder="1" applyAlignment="1" applyProtection="1">
      <alignment/>
      <protection locked="0"/>
    </xf>
    <xf numFmtId="164" fontId="6" fillId="2" borderId="3" xfId="18" applyNumberFormat="1" applyFont="1" applyFill="1" applyBorder="1" applyAlignment="1" applyProtection="1">
      <alignment/>
      <protection locked="0"/>
    </xf>
    <xf numFmtId="164" fontId="6" fillId="0" borderId="3" xfId="18" applyNumberFormat="1" applyFont="1" applyFill="1" applyBorder="1" applyAlignment="1" applyProtection="1">
      <alignment/>
      <protection locked="0"/>
    </xf>
    <xf numFmtId="37" fontId="6" fillId="2" borderId="15" xfId="20" applyFont="1" applyFill="1" applyBorder="1" applyAlignment="1" applyProtection="1">
      <alignment/>
      <protection locked="0"/>
    </xf>
    <xf numFmtId="164" fontId="6" fillId="2" borderId="15" xfId="18" applyNumberFormat="1" applyFont="1" applyFill="1" applyBorder="1" applyAlignment="1" applyProtection="1">
      <alignment/>
      <protection locked="0"/>
    </xf>
    <xf numFmtId="164" fontId="7" fillId="8" borderId="1" xfId="22" applyNumberFormat="1" applyFont="1" applyFill="1" applyBorder="1" applyAlignment="1" applyProtection="1">
      <alignment horizontal="right" indent="1"/>
      <protection/>
    </xf>
    <xf numFmtId="164" fontId="6" fillId="8" borderId="17" xfId="21" applyNumberFormat="1" applyFont="1" applyFill="1" applyBorder="1" applyAlignment="1" applyProtection="1">
      <alignment horizontal="right" indent="1"/>
      <protection locked="0"/>
    </xf>
    <xf numFmtId="164" fontId="6" fillId="8" borderId="3" xfId="21" applyNumberFormat="1" applyFont="1" applyFill="1" applyBorder="1" applyAlignment="1" applyProtection="1">
      <alignment horizontal="right" indent="1"/>
      <protection locked="0"/>
    </xf>
    <xf numFmtId="164" fontId="6" fillId="8" borderId="6" xfId="21" applyNumberFormat="1" applyFont="1" applyFill="1" applyBorder="1" applyAlignment="1" applyProtection="1">
      <alignment horizontal="right" indent="1"/>
      <protection locked="0"/>
    </xf>
    <xf numFmtId="164" fontId="7" fillId="8" borderId="14" xfId="22" applyNumberFormat="1" applyFont="1" applyFill="1" applyBorder="1" applyAlignment="1">
      <alignment horizontal="right" vertical="center" indent="1"/>
    </xf>
    <xf numFmtId="164" fontId="6" fillId="8" borderId="6" xfId="22" applyNumberFormat="1" applyFont="1" applyFill="1" applyBorder="1" applyAlignment="1" applyProtection="1">
      <alignment horizontal="right" vertical="center" indent="1"/>
      <protection locked="0"/>
    </xf>
    <xf numFmtId="164" fontId="6" fillId="8" borderId="11" xfId="21" applyNumberFormat="1" applyFont="1" applyFill="1" applyBorder="1" applyAlignment="1" applyProtection="1">
      <alignment horizontal="right" indent="1"/>
      <protection locked="0"/>
    </xf>
    <xf numFmtId="164" fontId="6" fillId="8" borderId="4" xfId="22" applyNumberFormat="1" applyFont="1" applyFill="1" applyBorder="1" applyAlignment="1" applyProtection="1">
      <alignment horizontal="right" vertical="center" indent="1"/>
      <protection locked="0"/>
    </xf>
    <xf numFmtId="164" fontId="7" fillId="8" borderId="4" xfId="22" applyNumberFormat="1" applyFont="1" applyFill="1" applyBorder="1" applyAlignment="1">
      <alignment horizontal="right" vertical="center" indent="1"/>
    </xf>
    <xf numFmtId="164" fontId="7" fillId="8" borderId="6" xfId="22" applyNumberFormat="1" applyFont="1" applyFill="1" applyBorder="1" applyAlignment="1">
      <alignment horizontal="right" vertical="center" indent="1"/>
    </xf>
    <xf numFmtId="164" fontId="7" fillId="8" borderId="1" xfId="22" applyNumberFormat="1" applyFont="1" applyFill="1" applyBorder="1" applyAlignment="1">
      <alignment horizontal="right" vertical="center" indent="1"/>
    </xf>
    <xf numFmtId="164" fontId="6" fillId="8" borderId="6" xfId="22" applyNumberFormat="1" applyFont="1" applyFill="1" applyBorder="1" applyAlignment="1">
      <alignment horizontal="right" vertical="center" indent="1"/>
    </xf>
    <xf numFmtId="164" fontId="6" fillId="8" borderId="7" xfId="22" applyNumberFormat="1" applyFont="1" applyFill="1" applyBorder="1" applyAlignment="1" applyProtection="1">
      <alignment horizontal="right" vertical="center" indent="1"/>
      <protection locked="0"/>
    </xf>
    <xf numFmtId="164" fontId="6" fillId="8" borderId="6" xfId="18" applyNumberFormat="1" applyFont="1" applyFill="1" applyBorder="1" applyAlignment="1" applyProtection="1">
      <alignment horizontal="right" vertical="center" indent="1"/>
      <protection locked="0"/>
    </xf>
    <xf numFmtId="164" fontId="7" fillId="8" borderId="4" xfId="18" applyNumberFormat="1" applyFont="1" applyFill="1" applyBorder="1" applyAlignment="1">
      <alignment horizontal="right" vertical="center" indent="1"/>
    </xf>
    <xf numFmtId="164" fontId="7" fillId="8" borderId="1" xfId="18" applyNumberFormat="1" applyFont="1" applyFill="1" applyBorder="1" applyAlignment="1">
      <alignment horizontal="right" vertical="center" indent="1"/>
    </xf>
    <xf numFmtId="0" fontId="0" fillId="0" borderId="0" xfId="0" applyFill="1" applyAlignment="1">
      <alignment vertical="center" wrapText="1"/>
    </xf>
    <xf numFmtId="0" fontId="3" fillId="0" borderId="0" xfId="0" applyFont="1" applyFill="1" applyAlignment="1">
      <alignment horizontal="left" vertical="top" wrapText="1"/>
    </xf>
    <xf numFmtId="0" fontId="0" fillId="0" borderId="0" xfId="0" applyFill="1" applyAlignment="1">
      <alignment horizontal="left" vertical="center" wrapText="1"/>
    </xf>
    <xf numFmtId="0" fontId="7" fillId="0"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10" fillId="2" borderId="8" xfId="0" applyFont="1" applyFill="1" applyBorder="1" applyAlignment="1">
      <alignment horizontal="center"/>
    </xf>
    <xf numFmtId="0" fontId="2" fillId="3" borderId="14" xfId="0" applyFont="1" applyFill="1" applyBorder="1" applyAlignment="1">
      <alignment horizontal="center"/>
    </xf>
    <xf numFmtId="0" fontId="2" fillId="3" borderId="2" xfId="0" applyFont="1" applyFill="1" applyBorder="1" applyAlignment="1">
      <alignment horizontal="center"/>
    </xf>
    <xf numFmtId="0" fontId="2" fillId="3" borderId="19" xfId="0" applyFont="1" applyFill="1" applyBorder="1" applyAlignment="1">
      <alignment horizontal="center"/>
    </xf>
  </cellXfs>
  <cellStyles count="12">
    <cellStyle name="Normal" xfId="0"/>
    <cellStyle name="Percent" xfId="15"/>
    <cellStyle name="Currency" xfId="16"/>
    <cellStyle name="Currency [0]" xfId="17"/>
    <cellStyle name="Comma" xfId="18"/>
    <cellStyle name="Comma [0]" xfId="19"/>
    <cellStyle name="Normal_AIRPLAN.XLS" xfId="20"/>
    <cellStyle name="Normal_AIRPLAN.XLS_0640 ParksOperating 2011PSQ Fin Plan" xfId="21"/>
    <cellStyle name="Comma 2" xfId="22"/>
    <cellStyle name="Normal 2" xfId="23"/>
    <cellStyle name="Normal 2 2" xfId="24"/>
    <cellStyle name="Normal 11"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showGridLines="0" tabSelected="1" view="pageBreakPreview" zoomScaleSheetLayoutView="100" workbookViewId="0" topLeftCell="B1">
      <selection activeCell="B36" sqref="B36"/>
    </sheetView>
  </sheetViews>
  <sheetFormatPr defaultColWidth="9.140625" defaultRowHeight="15" outlineLevelCol="1"/>
  <cols>
    <col min="1" max="1" width="4.00390625" style="0" bestFit="1" customWidth="1"/>
    <col min="2" max="2" width="38.28125" style="0" bestFit="1" customWidth="1"/>
    <col min="3" max="3" width="17.7109375" style="0" hidden="1" customWidth="1"/>
    <col min="4" max="4" width="16.421875" style="0" hidden="1" customWidth="1"/>
    <col min="5" max="5" width="17.00390625" style="0" hidden="1" customWidth="1" outlineLevel="1"/>
    <col min="6" max="6" width="17.7109375" style="0" hidden="1" customWidth="1" outlineLevel="1"/>
    <col min="7" max="12" width="16.57421875" style="0" hidden="1" customWidth="1" outlineLevel="1"/>
    <col min="13" max="13" width="16.57421875" style="0" customWidth="1" outlineLevel="1"/>
    <col min="14" max="14" width="16.57421875" style="97" customWidth="1"/>
    <col min="15" max="16" width="16.57421875" style="97" hidden="1" customWidth="1" outlineLevel="1"/>
    <col min="17" max="17" width="16.57421875" style="97" customWidth="1" collapsed="1"/>
    <col min="18" max="19" width="18.140625" style="0" bestFit="1" customWidth="1"/>
    <col min="20" max="20" width="17.421875" style="0" hidden="1" customWidth="1"/>
    <col min="21" max="21" width="12.421875" style="0" hidden="1" customWidth="1"/>
    <col min="22" max="22" width="0.9921875" style="0" hidden="1" customWidth="1"/>
    <col min="23" max="23" width="15.7109375" style="0" hidden="1" customWidth="1"/>
    <col min="24" max="24" width="12.421875" style="0" hidden="1" customWidth="1"/>
    <col min="25" max="25" width="16.421875" style="0" hidden="1" customWidth="1"/>
    <col min="26" max="26" width="12.421875" style="0" hidden="1" customWidth="1"/>
    <col min="27" max="27" width="15.00390625" style="0" customWidth="1"/>
    <col min="28" max="28" width="12.28125" style="0" bestFit="1" customWidth="1"/>
    <col min="29" max="29" width="18.28125" style="0" bestFit="1" customWidth="1"/>
    <col min="30" max="30" width="13.00390625" style="0" bestFit="1" customWidth="1"/>
    <col min="34" max="34" width="15.00390625" style="0" bestFit="1" customWidth="1"/>
  </cols>
  <sheetData>
    <row r="1" spans="2:24" s="2" customFormat="1" ht="15.6">
      <c r="B1" s="124" t="s">
        <v>57</v>
      </c>
      <c r="C1" s="124"/>
      <c r="D1" s="124"/>
      <c r="E1" s="124"/>
      <c r="F1" s="124"/>
      <c r="G1" s="124"/>
      <c r="H1" s="124"/>
      <c r="I1" s="124"/>
      <c r="J1" s="124"/>
      <c r="K1" s="124"/>
      <c r="L1" s="124"/>
      <c r="M1" s="124"/>
      <c r="N1" s="124"/>
      <c r="O1" s="124"/>
      <c r="P1" s="124"/>
      <c r="Q1" s="124"/>
      <c r="R1" s="124"/>
      <c r="S1" s="3"/>
      <c r="T1" s="81"/>
      <c r="U1" s="81"/>
      <c r="V1" s="25"/>
      <c r="W1" s="25"/>
      <c r="X1" s="25"/>
    </row>
    <row r="2" spans="2:24" s="2" customFormat="1" ht="15.6">
      <c r="B2" s="125" t="s">
        <v>28</v>
      </c>
      <c r="C2" s="125"/>
      <c r="D2" s="125"/>
      <c r="E2" s="125"/>
      <c r="F2" s="125"/>
      <c r="G2" s="125"/>
      <c r="H2" s="125"/>
      <c r="I2" s="125"/>
      <c r="J2" s="125"/>
      <c r="K2" s="125"/>
      <c r="L2" s="125"/>
      <c r="M2" s="125"/>
      <c r="N2" s="125"/>
      <c r="O2" s="125"/>
      <c r="P2" s="125"/>
      <c r="Q2" s="125"/>
      <c r="R2" s="125"/>
      <c r="S2" s="3"/>
      <c r="T2" s="78"/>
      <c r="U2" s="82"/>
      <c r="V2" s="78"/>
      <c r="W2" s="78"/>
      <c r="X2" s="78"/>
    </row>
    <row r="3" spans="2:26" s="2" customFormat="1" ht="15.6">
      <c r="B3" s="77"/>
      <c r="C3" s="77"/>
      <c r="D3" s="126"/>
      <c r="E3" s="126"/>
      <c r="F3" s="126"/>
      <c r="G3" s="77"/>
      <c r="H3" s="77"/>
      <c r="I3" s="77"/>
      <c r="J3" s="77"/>
      <c r="K3" s="77"/>
      <c r="L3" s="77"/>
      <c r="M3" s="77"/>
      <c r="N3" s="77"/>
      <c r="O3" s="77"/>
      <c r="P3" s="77"/>
      <c r="Q3" s="77"/>
      <c r="R3" s="77"/>
      <c r="S3" s="77"/>
      <c r="T3" s="127" t="s">
        <v>27</v>
      </c>
      <c r="U3" s="128"/>
      <c r="V3" s="128"/>
      <c r="W3" s="128"/>
      <c r="X3" s="128"/>
      <c r="Y3" s="128"/>
      <c r="Z3" s="129"/>
    </row>
    <row r="4" spans="2:26" s="2" customFormat="1" ht="72">
      <c r="B4" s="76" t="s">
        <v>26</v>
      </c>
      <c r="C4" s="75" t="s">
        <v>25</v>
      </c>
      <c r="D4" s="75" t="s">
        <v>24</v>
      </c>
      <c r="E4" s="75" t="s">
        <v>23</v>
      </c>
      <c r="F4" s="75" t="s">
        <v>54</v>
      </c>
      <c r="G4" s="75" t="s">
        <v>22</v>
      </c>
      <c r="H4" s="75" t="s">
        <v>21</v>
      </c>
      <c r="I4" s="75" t="s">
        <v>29</v>
      </c>
      <c r="J4" s="75" t="s">
        <v>32</v>
      </c>
      <c r="K4" s="75" t="s">
        <v>33</v>
      </c>
      <c r="L4" s="75" t="s">
        <v>35</v>
      </c>
      <c r="M4" s="75" t="s">
        <v>67</v>
      </c>
      <c r="N4" s="75" t="s">
        <v>66</v>
      </c>
      <c r="O4" s="75" t="s">
        <v>56</v>
      </c>
      <c r="P4" s="75" t="s">
        <v>61</v>
      </c>
      <c r="Q4" s="75" t="s">
        <v>53</v>
      </c>
      <c r="R4" s="75" t="s">
        <v>62</v>
      </c>
      <c r="S4" s="75" t="s">
        <v>63</v>
      </c>
      <c r="T4" s="74" t="s">
        <v>20</v>
      </c>
      <c r="U4" s="74" t="s">
        <v>19</v>
      </c>
      <c r="V4" s="3"/>
      <c r="W4" s="74" t="s">
        <v>37</v>
      </c>
      <c r="X4" s="74" t="s">
        <v>38</v>
      </c>
      <c r="Y4" s="74" t="s">
        <v>39</v>
      </c>
      <c r="Z4" s="74" t="s">
        <v>36</v>
      </c>
    </row>
    <row r="5" spans="1:26" s="2" customFormat="1" ht="15.6">
      <c r="A5" s="73">
        <v>1</v>
      </c>
      <c r="B5" s="73" t="s">
        <v>18</v>
      </c>
      <c r="C5" s="72">
        <v>-11727782.000000082</v>
      </c>
      <c r="D5" s="71">
        <v>1522486.2099997997</v>
      </c>
      <c r="E5" s="70">
        <f>C35</f>
        <v>1517527.2099997997</v>
      </c>
      <c r="F5" s="70">
        <f>C35</f>
        <v>1517527.2099997997</v>
      </c>
      <c r="G5" s="69">
        <f>C35</f>
        <v>1517527.2099997997</v>
      </c>
      <c r="H5" s="69">
        <f>$C$35</f>
        <v>1517527.2099997997</v>
      </c>
      <c r="I5" s="69">
        <f>G5</f>
        <v>1517527.2099997997</v>
      </c>
      <c r="J5" s="69">
        <f>H5</f>
        <v>1517527.2099997997</v>
      </c>
      <c r="K5" s="69">
        <f>I5</f>
        <v>1517527.2099997997</v>
      </c>
      <c r="L5" s="69">
        <f>J5</f>
        <v>1517527.2099997997</v>
      </c>
      <c r="M5" s="69">
        <f>K5</f>
        <v>1517527.2099997997</v>
      </c>
      <c r="N5" s="69">
        <f>M35</f>
        <v>12614087.194606006</v>
      </c>
      <c r="O5" s="105"/>
      <c r="P5" s="105"/>
      <c r="Q5" s="69">
        <f>M35</f>
        <v>12614087.194606006</v>
      </c>
      <c r="R5" s="69">
        <f>Q35</f>
        <v>12722698.194606006</v>
      </c>
      <c r="S5" s="69">
        <f>R35</f>
        <v>1230031.9546060562</v>
      </c>
      <c r="T5" s="20">
        <f>+F5-E5</f>
        <v>0</v>
      </c>
      <c r="U5" s="19">
        <f>_xlfn.IFERROR(F5/E5,"")</f>
        <v>1</v>
      </c>
      <c r="V5" s="3"/>
      <c r="W5" s="20">
        <f>H5-E5</f>
        <v>0</v>
      </c>
      <c r="X5" s="19">
        <f>_xlfn.IFERROR(J5/E5,"")</f>
        <v>1</v>
      </c>
      <c r="Y5" s="20"/>
      <c r="Z5" s="19"/>
    </row>
    <row r="6" spans="1:26" s="2" customFormat="1" ht="15.6">
      <c r="A6" s="68">
        <f aca="true" t="shared" si="0" ref="A6:A43">+A5+1</f>
        <v>2</v>
      </c>
      <c r="B6" s="68" t="s">
        <v>17</v>
      </c>
      <c r="C6" s="67"/>
      <c r="D6" s="67"/>
      <c r="E6" s="66"/>
      <c r="F6" s="66"/>
      <c r="G6" s="65"/>
      <c r="H6" s="65"/>
      <c r="I6" s="65"/>
      <c r="J6" s="65"/>
      <c r="K6" s="65"/>
      <c r="L6" s="65"/>
      <c r="M6" s="65"/>
      <c r="N6" s="45"/>
      <c r="O6" s="106"/>
      <c r="P6" s="106"/>
      <c r="Q6" s="65"/>
      <c r="R6" s="65"/>
      <c r="S6" s="65"/>
      <c r="T6" s="63"/>
      <c r="U6" s="62"/>
      <c r="V6" s="64"/>
      <c r="W6" s="63"/>
      <c r="X6" s="62"/>
      <c r="Y6" s="63"/>
      <c r="Z6" s="62"/>
    </row>
    <row r="7" spans="1:27" s="2" customFormat="1" ht="15.6">
      <c r="A7" s="48">
        <f t="shared" si="0"/>
        <v>3</v>
      </c>
      <c r="B7" s="48" t="s">
        <v>40</v>
      </c>
      <c r="C7" s="47">
        <v>43307590</v>
      </c>
      <c r="D7" s="47">
        <v>41832635</v>
      </c>
      <c r="E7" s="46">
        <v>44808213</v>
      </c>
      <c r="F7" s="45">
        <v>46370011.260000005</v>
      </c>
      <c r="G7" s="45">
        <v>41832635</v>
      </c>
      <c r="H7" s="45">
        <v>43483203</v>
      </c>
      <c r="I7" s="45">
        <v>44187672.980000004</v>
      </c>
      <c r="J7" s="45">
        <v>44492233.60000001</v>
      </c>
      <c r="K7" s="45">
        <v>44492233.60000001</v>
      </c>
      <c r="L7" s="45">
        <v>45639875.79000001</v>
      </c>
      <c r="M7" s="45">
        <v>46370011.260000005</v>
      </c>
      <c r="N7" s="45">
        <v>48546749</v>
      </c>
      <c r="O7" s="107"/>
      <c r="P7" s="107"/>
      <c r="Q7" s="45">
        <v>50480886</v>
      </c>
      <c r="R7" s="99">
        <f>Q7*1.028</f>
        <v>51894350.808</v>
      </c>
      <c r="S7" s="99">
        <f>R7*1.028</f>
        <v>53347392.630623996</v>
      </c>
      <c r="T7" s="15">
        <f>+F7-E7</f>
        <v>1561798.2600000054</v>
      </c>
      <c r="U7" s="14">
        <f>_xlfn.IFERROR(F7/E7,"")</f>
        <v>1.034855178446862</v>
      </c>
      <c r="V7" s="24"/>
      <c r="W7" s="15">
        <f>M7-E7</f>
        <v>1561798.2600000054</v>
      </c>
      <c r="X7" s="14">
        <f>_xlfn.IFERROR(L7/E7,"")</f>
        <v>1.0185604989424597</v>
      </c>
      <c r="Y7" s="15">
        <f>M7-L7</f>
        <v>730135.4699999988</v>
      </c>
      <c r="Z7" s="14">
        <f>_xlfn.IFERROR(M7/L7,"")</f>
        <v>1.015997753222632</v>
      </c>
      <c r="AA7" s="79"/>
    </row>
    <row r="8" spans="1:27" s="2" customFormat="1" ht="15.6">
      <c r="A8" s="48">
        <f t="shared" si="0"/>
        <v>4</v>
      </c>
      <c r="B8" s="48" t="s">
        <v>42</v>
      </c>
      <c r="C8" s="47">
        <v>15493970.58</v>
      </c>
      <c r="D8" s="47">
        <v>14171157</v>
      </c>
      <c r="E8" s="46">
        <v>14257511</v>
      </c>
      <c r="F8" s="46">
        <v>15056251.19</v>
      </c>
      <c r="G8" s="46">
        <v>14171157</v>
      </c>
      <c r="H8" s="46">
        <v>14229997</v>
      </c>
      <c r="I8" s="46">
        <v>13786881.386666667</v>
      </c>
      <c r="J8" s="46">
        <v>15736806.7</v>
      </c>
      <c r="K8" s="46">
        <v>15622790.629999999</v>
      </c>
      <c r="L8" s="46">
        <v>15750790.664</v>
      </c>
      <c r="M8" s="46">
        <v>15851189.189999998</v>
      </c>
      <c r="N8" s="46">
        <v>15734396</v>
      </c>
      <c r="O8" s="107"/>
      <c r="P8" s="107"/>
      <c r="Q8" s="45">
        <v>15734396</v>
      </c>
      <c r="R8" s="99">
        <f>Q8</f>
        <v>15734396</v>
      </c>
      <c r="S8" s="99">
        <f>R8</f>
        <v>15734396</v>
      </c>
      <c r="T8" s="15">
        <f aca="true" t="shared" si="1" ref="T8:T19">+F8-E8</f>
        <v>798740.1899999995</v>
      </c>
      <c r="U8" s="14">
        <f aca="true" t="shared" si="2" ref="U8:U19">_xlfn.IFERROR(F8/E8,"")</f>
        <v>1.0560224144312425</v>
      </c>
      <c r="V8" s="24"/>
      <c r="W8" s="15">
        <f>M8-E8</f>
        <v>1593678.1899999976</v>
      </c>
      <c r="X8" s="14">
        <f aca="true" t="shared" si="3" ref="X8:X34">_xlfn.IFERROR(L8/E8,"")</f>
        <v>1.1047363501245064</v>
      </c>
      <c r="Y8" s="15">
        <f aca="true" t="shared" si="4" ref="Y8:Y20">M8-L8</f>
        <v>100398.52599999681</v>
      </c>
      <c r="Z8" s="14">
        <f aca="true" t="shared" si="5" ref="Z8:Z19">_xlfn.IFERROR(M8/L8,"")</f>
        <v>1.0063741895973177</v>
      </c>
      <c r="AA8" s="79"/>
    </row>
    <row r="9" spans="1:27" s="2" customFormat="1" ht="15.6">
      <c r="A9" s="48">
        <f t="shared" si="0"/>
        <v>5</v>
      </c>
      <c r="B9" s="48" t="s">
        <v>43</v>
      </c>
      <c r="C9" s="47">
        <v>92947843</v>
      </c>
      <c r="D9" s="47">
        <v>83144699</v>
      </c>
      <c r="E9" s="46">
        <v>84245197</v>
      </c>
      <c r="F9" s="46">
        <v>84601895.69</v>
      </c>
      <c r="G9" s="46">
        <v>83144699</v>
      </c>
      <c r="H9" s="46">
        <v>82214746</v>
      </c>
      <c r="I9" s="46">
        <v>81716866.75999999</v>
      </c>
      <c r="J9" s="46">
        <v>82725283.1</v>
      </c>
      <c r="K9" s="46">
        <v>82684543.12</v>
      </c>
      <c r="L9" s="46">
        <v>83376805.21</v>
      </c>
      <c r="M9" s="46">
        <v>84601895.69</v>
      </c>
      <c r="N9" s="46">
        <v>77901886</v>
      </c>
      <c r="O9" s="107"/>
      <c r="P9" s="107"/>
      <c r="Q9" s="45">
        <v>77901886</v>
      </c>
      <c r="R9" s="99">
        <f>Q9*1.028</f>
        <v>80083138.808</v>
      </c>
      <c r="S9" s="99">
        <f>R9*1.028</f>
        <v>82325466.694624</v>
      </c>
      <c r="T9" s="15">
        <f t="shared" si="1"/>
        <v>356698.6899999976</v>
      </c>
      <c r="U9" s="14">
        <f t="shared" si="2"/>
        <v>1.0042340537229677</v>
      </c>
      <c r="V9" s="24"/>
      <c r="W9" s="15">
        <f aca="true" t="shared" si="6" ref="W9:W19">M9-E9</f>
        <v>356698.6899999976</v>
      </c>
      <c r="X9" s="14">
        <f t="shared" si="3"/>
        <v>0.9896920914078935</v>
      </c>
      <c r="Y9" s="15">
        <f t="shared" si="4"/>
        <v>1225090.4800000042</v>
      </c>
      <c r="Z9" s="14">
        <f t="shared" si="5"/>
        <v>1.0146934207531026</v>
      </c>
      <c r="AA9" s="79"/>
    </row>
    <row r="10" spans="1:27" s="2" customFormat="1" ht="15.6">
      <c r="A10" s="48">
        <f t="shared" si="0"/>
        <v>6</v>
      </c>
      <c r="B10" s="48" t="s">
        <v>16</v>
      </c>
      <c r="C10" s="47">
        <v>12429594.33</v>
      </c>
      <c r="D10" s="47">
        <v>11907656</v>
      </c>
      <c r="E10" s="46">
        <v>12738056</v>
      </c>
      <c r="F10" s="46">
        <v>14617547.84</v>
      </c>
      <c r="G10" s="46">
        <v>11907656</v>
      </c>
      <c r="H10" s="46">
        <v>12738056</v>
      </c>
      <c r="I10" s="46">
        <v>13442413</v>
      </c>
      <c r="J10" s="46">
        <v>13446293.57</v>
      </c>
      <c r="K10" s="46">
        <v>13446293.57</v>
      </c>
      <c r="L10" s="46">
        <v>13892911.57</v>
      </c>
      <c r="M10" s="46">
        <v>13969514.84</v>
      </c>
      <c r="N10" s="46">
        <v>16795370</v>
      </c>
      <c r="O10" s="107"/>
      <c r="P10" s="107"/>
      <c r="Q10" s="45">
        <v>17765610</v>
      </c>
      <c r="R10" s="99">
        <f>Q10*1.056</f>
        <v>18760484.16</v>
      </c>
      <c r="S10" s="99">
        <f>R10*1.065</f>
        <v>19979915.6304</v>
      </c>
      <c r="T10" s="15">
        <f t="shared" si="1"/>
        <v>1879491.8399999999</v>
      </c>
      <c r="U10" s="14">
        <f t="shared" si="2"/>
        <v>1.1475493466192956</v>
      </c>
      <c r="V10" s="61"/>
      <c r="W10" s="15">
        <f t="shared" si="6"/>
        <v>1231458.8399999999</v>
      </c>
      <c r="X10" s="14">
        <f t="shared" si="3"/>
        <v>1.0906618380387085</v>
      </c>
      <c r="Y10" s="15">
        <f t="shared" si="4"/>
        <v>76603.26999999955</v>
      </c>
      <c r="Z10" s="14">
        <f t="shared" si="5"/>
        <v>1.0055138384502076</v>
      </c>
      <c r="AA10" s="79"/>
    </row>
    <row r="11" spans="1:27" s="2" customFormat="1" ht="15.6">
      <c r="A11" s="48">
        <f t="shared" si="0"/>
        <v>7</v>
      </c>
      <c r="B11" s="48" t="s">
        <v>44</v>
      </c>
      <c r="C11" s="47">
        <v>9927179</v>
      </c>
      <c r="D11" s="47">
        <v>7610881</v>
      </c>
      <c r="E11" s="46">
        <v>7610881</v>
      </c>
      <c r="F11" s="46">
        <v>3964815.079999999</v>
      </c>
      <c r="G11" s="46">
        <v>7610881</v>
      </c>
      <c r="H11" s="46">
        <v>7254857</v>
      </c>
      <c r="I11" s="46">
        <v>7254856.82</v>
      </c>
      <c r="J11" s="46">
        <v>6426288.996002464</v>
      </c>
      <c r="K11" s="46">
        <v>6426288.996002464</v>
      </c>
      <c r="L11" s="46">
        <v>6426288.996002464</v>
      </c>
      <c r="M11" s="46">
        <v>6766024.86</v>
      </c>
      <c r="N11" s="46">
        <v>6716704</v>
      </c>
      <c r="O11" s="107"/>
      <c r="P11" s="107"/>
      <c r="Q11" s="45">
        <v>6716704</v>
      </c>
      <c r="R11" s="99">
        <f>Q11</f>
        <v>6716704</v>
      </c>
      <c r="S11" s="99">
        <f>R11</f>
        <v>6716704</v>
      </c>
      <c r="T11" s="15">
        <f t="shared" si="1"/>
        <v>-3646065.920000001</v>
      </c>
      <c r="U11" s="14">
        <f t="shared" si="2"/>
        <v>0.5209403589413629</v>
      </c>
      <c r="V11" s="24"/>
      <c r="W11" s="15">
        <f t="shared" si="6"/>
        <v>-844856.1399999997</v>
      </c>
      <c r="X11" s="14">
        <f t="shared" si="3"/>
        <v>0.8443554689664</v>
      </c>
      <c r="Y11" s="15">
        <f t="shared" si="4"/>
        <v>339735.8639975367</v>
      </c>
      <c r="Z11" s="14">
        <f t="shared" si="5"/>
        <v>1.0528665710815173</v>
      </c>
      <c r="AA11" s="79"/>
    </row>
    <row r="12" spans="1:27" s="2" customFormat="1" ht="15.6">
      <c r="A12" s="48">
        <f t="shared" si="0"/>
        <v>8</v>
      </c>
      <c r="B12" s="48" t="s">
        <v>30</v>
      </c>
      <c r="C12" s="47">
        <v>4650850</v>
      </c>
      <c r="D12" s="47">
        <v>2431150</v>
      </c>
      <c r="E12" s="46">
        <v>2431150</v>
      </c>
      <c r="F12" s="46">
        <v>3613639.9500000007</v>
      </c>
      <c r="G12" s="46">
        <v>2431150</v>
      </c>
      <c r="H12" s="46">
        <v>2538765</v>
      </c>
      <c r="I12" s="46">
        <v>2341850</v>
      </c>
      <c r="J12" s="46">
        <v>3188483.22</v>
      </c>
      <c r="K12" s="46">
        <v>3188483.22</v>
      </c>
      <c r="L12" s="46">
        <v>3147126.0700000008</v>
      </c>
      <c r="M12" s="46">
        <v>3466734.95</v>
      </c>
      <c r="N12" s="46">
        <v>4094625</v>
      </c>
      <c r="O12" s="107"/>
      <c r="P12" s="107"/>
      <c r="Q12" s="45">
        <v>4094625</v>
      </c>
      <c r="R12" s="99">
        <f>Q12*1.056</f>
        <v>4323924</v>
      </c>
      <c r="S12" s="99">
        <f>R12*1.056</f>
        <v>4566063.744</v>
      </c>
      <c r="T12" s="15">
        <f t="shared" si="1"/>
        <v>1182489.9500000007</v>
      </c>
      <c r="U12" s="14">
        <f t="shared" si="2"/>
        <v>1.486391193468112</v>
      </c>
      <c r="V12" s="24"/>
      <c r="W12" s="15">
        <f t="shared" si="6"/>
        <v>1035584.9500000002</v>
      </c>
      <c r="X12" s="14">
        <f t="shared" si="3"/>
        <v>1.294500985130494</v>
      </c>
      <c r="Y12" s="15">
        <f t="shared" si="4"/>
        <v>319608.8799999994</v>
      </c>
      <c r="Z12" s="14">
        <f t="shared" si="5"/>
        <v>1.1015557918212024</v>
      </c>
      <c r="AA12" s="79"/>
    </row>
    <row r="13" spans="1:27" s="2" customFormat="1" ht="15.6">
      <c r="A13" s="48">
        <f t="shared" si="0"/>
        <v>9</v>
      </c>
      <c r="B13" s="48" t="s">
        <v>45</v>
      </c>
      <c r="C13" s="47">
        <v>78936830.33999996</v>
      </c>
      <c r="D13" s="47">
        <v>76920446</v>
      </c>
      <c r="E13" s="46">
        <v>76920446</v>
      </c>
      <c r="F13" s="46">
        <v>71643769.76999995</v>
      </c>
      <c r="G13" s="46">
        <v>76920446</v>
      </c>
      <c r="H13" s="46">
        <v>73273501</v>
      </c>
      <c r="I13" s="46">
        <v>69879649.0466667</v>
      </c>
      <c r="J13" s="46">
        <v>71939008.94885305</v>
      </c>
      <c r="K13" s="46">
        <v>71939008.59999996</v>
      </c>
      <c r="L13" s="46">
        <v>70939008.59999996</v>
      </c>
      <c r="M13" s="46">
        <v>72843769.76999995</v>
      </c>
      <c r="N13" s="46">
        <v>70527090</v>
      </c>
      <c r="O13" s="107"/>
      <c r="P13" s="107"/>
      <c r="Q13" s="45">
        <v>70527090</v>
      </c>
      <c r="R13" s="100">
        <f>Q13</f>
        <v>70527090</v>
      </c>
      <c r="S13" s="100">
        <f>R13</f>
        <v>70527090</v>
      </c>
      <c r="T13" s="15">
        <f t="shared" si="1"/>
        <v>-5276676.230000049</v>
      </c>
      <c r="U13" s="14">
        <f t="shared" si="2"/>
        <v>0.9314008627823083</v>
      </c>
      <c r="V13" s="24"/>
      <c r="W13" s="91">
        <f t="shared" si="6"/>
        <v>-4076676.230000049</v>
      </c>
      <c r="X13" s="14">
        <f t="shared" si="3"/>
        <v>0.9222386542064507</v>
      </c>
      <c r="Y13" s="15">
        <f t="shared" si="4"/>
        <v>1904761.169999987</v>
      </c>
      <c r="Z13" s="14">
        <f t="shared" si="5"/>
        <v>1.0268506877610915</v>
      </c>
      <c r="AA13" s="79"/>
    </row>
    <row r="14" spans="1:27" s="2" customFormat="1" ht="15.6">
      <c r="A14" s="48">
        <f t="shared" si="0"/>
        <v>10</v>
      </c>
      <c r="B14" s="48" t="s">
        <v>15</v>
      </c>
      <c r="C14" s="47">
        <v>24983310.45</v>
      </c>
      <c r="D14" s="47">
        <v>24595572</v>
      </c>
      <c r="E14" s="46">
        <v>24595572</v>
      </c>
      <c r="F14" s="46">
        <v>24596234.74</v>
      </c>
      <c r="G14" s="46">
        <v>24595572</v>
      </c>
      <c r="H14" s="46">
        <v>24595572</v>
      </c>
      <c r="I14" s="46">
        <v>24595572</v>
      </c>
      <c r="J14" s="46">
        <v>24596230.86</v>
      </c>
      <c r="K14" s="46">
        <v>24596230.86</v>
      </c>
      <c r="L14" s="46">
        <v>24596230.86</v>
      </c>
      <c r="M14" s="46">
        <v>24596234.740000002</v>
      </c>
      <c r="N14" s="46">
        <v>24595572</v>
      </c>
      <c r="O14" s="107"/>
      <c r="P14" s="107"/>
      <c r="Q14" s="45">
        <v>24595572</v>
      </c>
      <c r="R14" s="100">
        <f>Q14</f>
        <v>24595572</v>
      </c>
      <c r="S14" s="100">
        <f>R14</f>
        <v>24595572</v>
      </c>
      <c r="T14" s="15">
        <f t="shared" si="1"/>
        <v>662.7399999983609</v>
      </c>
      <c r="U14" s="14">
        <f t="shared" si="2"/>
        <v>1.0000269455005966</v>
      </c>
      <c r="V14" s="24"/>
      <c r="W14" s="15">
        <f t="shared" si="6"/>
        <v>662.7400000020862</v>
      </c>
      <c r="X14" s="14">
        <f t="shared" si="3"/>
        <v>1.000026787748624</v>
      </c>
      <c r="Y14" s="15">
        <f t="shared" si="4"/>
        <v>3.880000002682209</v>
      </c>
      <c r="Z14" s="14">
        <f t="shared" si="5"/>
        <v>1.000000157747747</v>
      </c>
      <c r="AA14" s="79"/>
    </row>
    <row r="15" spans="1:27" s="2" customFormat="1" ht="15.6">
      <c r="A15" s="48">
        <f t="shared" si="0"/>
        <v>11</v>
      </c>
      <c r="B15" s="48" t="s">
        <v>14</v>
      </c>
      <c r="C15" s="47">
        <v>56245302</v>
      </c>
      <c r="D15" s="47">
        <v>49993628</v>
      </c>
      <c r="E15" s="46">
        <v>50168537</v>
      </c>
      <c r="F15" s="46">
        <v>50168628</v>
      </c>
      <c r="G15" s="46">
        <v>49993628</v>
      </c>
      <c r="H15" s="46">
        <v>49993628</v>
      </c>
      <c r="I15" s="46">
        <v>49993629</v>
      </c>
      <c r="J15" s="46">
        <v>49993627</v>
      </c>
      <c r="K15" s="46">
        <v>50168628</v>
      </c>
      <c r="L15" s="46">
        <v>50168628</v>
      </c>
      <c r="M15" s="46">
        <v>50168628</v>
      </c>
      <c r="N15" s="46">
        <v>53228518</v>
      </c>
      <c r="O15" s="107"/>
      <c r="P15" s="107"/>
      <c r="Q15" s="45">
        <v>53426909</v>
      </c>
      <c r="R15" s="100">
        <f>Q15*1.046</f>
        <v>55884546.814</v>
      </c>
      <c r="S15" s="100">
        <f>R15*1.046</f>
        <v>58455235.967444</v>
      </c>
      <c r="T15" s="15">
        <f t="shared" si="1"/>
        <v>91</v>
      </c>
      <c r="U15" s="14">
        <f t="shared" si="2"/>
        <v>1.0000018138858624</v>
      </c>
      <c r="V15" s="24"/>
      <c r="W15" s="15">
        <f t="shared" si="6"/>
        <v>91</v>
      </c>
      <c r="X15" s="14">
        <f t="shared" si="3"/>
        <v>1.0000018138858624</v>
      </c>
      <c r="Y15" s="15">
        <f t="shared" si="4"/>
        <v>0</v>
      </c>
      <c r="Z15" s="14">
        <f t="shared" si="5"/>
        <v>1</v>
      </c>
      <c r="AA15" s="79"/>
    </row>
    <row r="16" spans="1:27" s="2" customFormat="1" ht="15.6">
      <c r="A16" s="48">
        <f t="shared" si="0"/>
        <v>12</v>
      </c>
      <c r="B16" s="48" t="s">
        <v>46</v>
      </c>
      <c r="C16" s="47">
        <v>4246000</v>
      </c>
      <c r="D16" s="47">
        <v>56046221</v>
      </c>
      <c r="E16" s="46">
        <v>67914155</v>
      </c>
      <c r="F16" s="46">
        <v>45054019</v>
      </c>
      <c r="G16" s="46">
        <v>55609184</v>
      </c>
      <c r="H16" s="46">
        <v>67408994</v>
      </c>
      <c r="I16" s="46">
        <v>67408994.04595925</v>
      </c>
      <c r="J16" s="46">
        <v>67409094</v>
      </c>
      <c r="K16" s="46">
        <v>67409094</v>
      </c>
      <c r="L16" s="46">
        <v>51741839</v>
      </c>
      <c r="M16" s="46">
        <v>45054019</v>
      </c>
      <c r="N16" s="46">
        <v>84371000</v>
      </c>
      <c r="O16" s="107"/>
      <c r="P16" s="107"/>
      <c r="Q16" s="45">
        <v>107988436</v>
      </c>
      <c r="R16" s="100">
        <f>Q16*1.046</f>
        <v>112955904.05600001</v>
      </c>
      <c r="S16" s="100">
        <f>R16*1.046</f>
        <v>118151875.64257601</v>
      </c>
      <c r="T16" s="15">
        <f t="shared" si="1"/>
        <v>-22860136</v>
      </c>
      <c r="U16" s="14">
        <f t="shared" si="2"/>
        <v>0.6633965923598696</v>
      </c>
      <c r="V16" s="24"/>
      <c r="W16" s="92">
        <f t="shared" si="6"/>
        <v>-22860136</v>
      </c>
      <c r="X16" s="14">
        <f t="shared" si="3"/>
        <v>0.7618712034332166</v>
      </c>
      <c r="Y16" s="15">
        <f t="shared" si="4"/>
        <v>-6687820</v>
      </c>
      <c r="Z16" s="14">
        <f t="shared" si="5"/>
        <v>0.8707463799266972</v>
      </c>
      <c r="AA16" s="79"/>
    </row>
    <row r="17" spans="1:27" s="2" customFormat="1" ht="15.6">
      <c r="A17" s="48">
        <f t="shared" si="0"/>
        <v>13</v>
      </c>
      <c r="B17" s="48" t="s">
        <v>13</v>
      </c>
      <c r="C17" s="47">
        <v>5000000</v>
      </c>
      <c r="D17" s="47">
        <v>10000000</v>
      </c>
      <c r="E17" s="46">
        <v>10000000</v>
      </c>
      <c r="F17" s="46">
        <v>10000000</v>
      </c>
      <c r="G17" s="46">
        <v>10000000</v>
      </c>
      <c r="H17" s="46">
        <v>10000000</v>
      </c>
      <c r="I17" s="46">
        <v>10000000</v>
      </c>
      <c r="J17" s="46">
        <v>10000000</v>
      </c>
      <c r="K17" s="46">
        <v>10000000</v>
      </c>
      <c r="L17" s="46">
        <v>10000000</v>
      </c>
      <c r="M17" s="46">
        <v>10000000</v>
      </c>
      <c r="N17" s="46">
        <v>9931574</v>
      </c>
      <c r="O17" s="107"/>
      <c r="P17" s="107"/>
      <c r="Q17" s="45">
        <v>9931574</v>
      </c>
      <c r="R17" s="99">
        <f>Q17</f>
        <v>9931574</v>
      </c>
      <c r="S17" s="99">
        <f>R17</f>
        <v>9931574</v>
      </c>
      <c r="T17" s="15">
        <f t="shared" si="1"/>
        <v>0</v>
      </c>
      <c r="U17" s="14">
        <f t="shared" si="2"/>
        <v>1</v>
      </c>
      <c r="V17" s="24"/>
      <c r="W17" s="15">
        <f t="shared" si="6"/>
        <v>0</v>
      </c>
      <c r="X17" s="14">
        <f t="shared" si="3"/>
        <v>1</v>
      </c>
      <c r="Y17" s="15">
        <f t="shared" si="4"/>
        <v>0</v>
      </c>
      <c r="Z17" s="14">
        <f t="shared" si="5"/>
        <v>1</v>
      </c>
      <c r="AA17" s="79"/>
    </row>
    <row r="18" spans="1:27" s="2" customFormat="1" ht="15.6">
      <c r="A18" s="48">
        <f t="shared" si="0"/>
        <v>14</v>
      </c>
      <c r="B18" s="48" t="s">
        <v>47</v>
      </c>
      <c r="C18" s="47">
        <v>0</v>
      </c>
      <c r="D18" s="47">
        <v>0</v>
      </c>
      <c r="E18" s="46">
        <v>2906608</v>
      </c>
      <c r="F18" s="46">
        <v>5766686</v>
      </c>
      <c r="G18" s="46">
        <v>0</v>
      </c>
      <c r="H18" s="46">
        <f>0.6*1800000</f>
        <v>1080000</v>
      </c>
      <c r="I18" s="46">
        <v>2811685</v>
      </c>
      <c r="J18" s="46">
        <v>2811685</v>
      </c>
      <c r="K18" s="46">
        <v>3615000</v>
      </c>
      <c r="L18" s="46">
        <v>3615000</v>
      </c>
      <c r="M18" s="46">
        <v>3615000</v>
      </c>
      <c r="N18" s="46">
        <v>6582427</v>
      </c>
      <c r="O18" s="107"/>
      <c r="P18" s="107"/>
      <c r="Q18" s="45">
        <v>6582427</v>
      </c>
      <c r="R18" s="99">
        <v>5811000</v>
      </c>
      <c r="S18" s="99">
        <f>R18</f>
        <v>5811000</v>
      </c>
      <c r="T18" s="15">
        <f t="shared" si="1"/>
        <v>2860078</v>
      </c>
      <c r="U18" s="14">
        <f t="shared" si="2"/>
        <v>1.9839916493727396</v>
      </c>
      <c r="V18" s="24"/>
      <c r="W18" s="15">
        <f t="shared" si="6"/>
        <v>708392</v>
      </c>
      <c r="X18" s="14">
        <f t="shared" si="3"/>
        <v>1.2437177631108152</v>
      </c>
      <c r="Y18" s="15">
        <f t="shared" si="4"/>
        <v>0</v>
      </c>
      <c r="Z18" s="14">
        <f t="shared" si="5"/>
        <v>1</v>
      </c>
      <c r="AA18" s="79"/>
    </row>
    <row r="19" spans="1:26" s="2" customFormat="1" ht="15.6">
      <c r="A19" s="48">
        <f t="shared" si="0"/>
        <v>15</v>
      </c>
      <c r="B19" s="48" t="s">
        <v>64</v>
      </c>
      <c r="C19" s="47">
        <v>5628526.4</v>
      </c>
      <c r="D19" s="47">
        <v>1943900</v>
      </c>
      <c r="E19" s="46">
        <v>1943900</v>
      </c>
      <c r="F19" s="46">
        <v>2048953.28</v>
      </c>
      <c r="G19" s="46">
        <v>1943900</v>
      </c>
      <c r="H19" s="46">
        <v>2067000</v>
      </c>
      <c r="I19" s="46">
        <v>2067000</v>
      </c>
      <c r="J19" s="46">
        <v>2048953.28</v>
      </c>
      <c r="K19" s="46">
        <v>2048953.28</v>
      </c>
      <c r="L19" s="46">
        <v>2048953.28</v>
      </c>
      <c r="M19" s="46">
        <v>2048953.28</v>
      </c>
      <c r="N19" s="46">
        <v>0</v>
      </c>
      <c r="O19" s="107"/>
      <c r="P19" s="107"/>
      <c r="Q19" s="45">
        <f aca="true" t="shared" si="7" ref="Q19">+O19</f>
        <v>0</v>
      </c>
      <c r="R19" s="46"/>
      <c r="S19" s="65"/>
      <c r="T19" s="15">
        <f t="shared" si="1"/>
        <v>105053.28000000003</v>
      </c>
      <c r="U19" s="14">
        <f t="shared" si="2"/>
        <v>1.0540425330521117</v>
      </c>
      <c r="V19" s="24"/>
      <c r="W19" s="15">
        <f t="shared" si="6"/>
        <v>105053.28000000003</v>
      </c>
      <c r="X19" s="14">
        <f t="shared" si="3"/>
        <v>1.0540425330521117</v>
      </c>
      <c r="Y19" s="15">
        <f t="shared" si="4"/>
        <v>0</v>
      </c>
      <c r="Z19" s="14">
        <f t="shared" si="5"/>
        <v>1</v>
      </c>
    </row>
    <row r="20" spans="1:26" s="2" customFormat="1" ht="15.6">
      <c r="A20" s="60">
        <f t="shared" si="0"/>
        <v>16</v>
      </c>
      <c r="B20" s="60"/>
      <c r="C20" s="53"/>
      <c r="D20" s="53"/>
      <c r="E20" s="59"/>
      <c r="F20" s="59"/>
      <c r="G20" s="59"/>
      <c r="H20" s="59"/>
      <c r="I20" s="59"/>
      <c r="J20" s="59"/>
      <c r="K20" s="59"/>
      <c r="L20" s="59"/>
      <c r="M20" s="59"/>
      <c r="N20" s="59"/>
      <c r="O20" s="108"/>
      <c r="P20" s="108"/>
      <c r="Q20" s="59"/>
      <c r="R20" s="59"/>
      <c r="S20" s="59"/>
      <c r="T20" s="58"/>
      <c r="U20" s="14" t="str">
        <f aca="true" t="shared" si="8" ref="U20">_xlfn.IFERROR(F19/E20,"")</f>
        <v/>
      </c>
      <c r="V20" s="3"/>
      <c r="W20" s="15">
        <f aca="true" t="shared" si="9" ref="W20">L20-E20</f>
        <v>0</v>
      </c>
      <c r="X20" s="14" t="str">
        <f t="shared" si="3"/>
        <v/>
      </c>
      <c r="Y20" s="15">
        <f t="shared" si="4"/>
        <v>0</v>
      </c>
      <c r="Z20" s="14" t="str">
        <f aca="true" t="shared" si="10" ref="Z20:Z38">_xlfn.IFERROR(L20/K20,"")</f>
        <v/>
      </c>
    </row>
    <row r="21" spans="1:26" s="2" customFormat="1" ht="15.6">
      <c r="A21" s="57">
        <f t="shared" si="0"/>
        <v>17</v>
      </c>
      <c r="B21" s="57" t="s">
        <v>12</v>
      </c>
      <c r="C21" s="55">
        <f aca="true" t="shared" si="11" ref="C21:R21">SUM(C7:C19)</f>
        <v>353796996.0999999</v>
      </c>
      <c r="D21" s="55">
        <f t="shared" si="11"/>
        <v>380597945</v>
      </c>
      <c r="E21" s="56">
        <f>SUM(E7:E19)</f>
        <v>400540226</v>
      </c>
      <c r="F21" s="56">
        <f>SUM(F7:F19)</f>
        <v>377502451.79999995</v>
      </c>
      <c r="G21" s="56">
        <f t="shared" si="11"/>
        <v>380160908</v>
      </c>
      <c r="H21" s="56">
        <f t="shared" si="11"/>
        <v>390878319</v>
      </c>
      <c r="I21" s="56">
        <f t="shared" si="11"/>
        <v>389487070.0392926</v>
      </c>
      <c r="J21" s="56">
        <f t="shared" si="11"/>
        <v>394813988.2748555</v>
      </c>
      <c r="K21" s="56">
        <f aca="true" t="shared" si="12" ref="K21:M21">SUM(K7:K19)</f>
        <v>395637547.87600243</v>
      </c>
      <c r="L21" s="56">
        <f t="shared" si="12"/>
        <v>381343458.0400024</v>
      </c>
      <c r="M21" s="56">
        <f t="shared" si="12"/>
        <v>379351975.5799999</v>
      </c>
      <c r="N21" s="56">
        <f t="shared" si="11"/>
        <v>419025911</v>
      </c>
      <c r="O21" s="109">
        <f t="shared" si="11"/>
        <v>0</v>
      </c>
      <c r="P21" s="109">
        <f t="shared" si="11"/>
        <v>0</v>
      </c>
      <c r="Q21" s="56">
        <f>SUM(Q7:Q19)</f>
        <v>445746115</v>
      </c>
      <c r="R21" s="37">
        <f t="shared" si="11"/>
        <v>457218684.646</v>
      </c>
      <c r="S21" s="37">
        <f aca="true" t="shared" si="13" ref="S21">SUM(S7:S19)</f>
        <v>470142286.30966806</v>
      </c>
      <c r="T21" s="5">
        <f>SUM(T7:T20)</f>
        <v>-23037774.200000048</v>
      </c>
      <c r="U21" s="4">
        <f>_xlfn.IFERROR(F21/E21,"")</f>
        <v>0.942483244616734</v>
      </c>
      <c r="V21" s="6"/>
      <c r="W21" s="5">
        <f>SUM(W7:W20)</f>
        <v>-21188250.420000046</v>
      </c>
      <c r="X21" s="4">
        <f>_xlfn.IFERROR(M21/E21,"")</f>
        <v>0.9471008177340967</v>
      </c>
      <c r="Y21" s="5">
        <f>SUM(Y7:Y20)</f>
        <v>-1991482.4600024745</v>
      </c>
      <c r="Z21" s="4">
        <f>_xlfn.IFERROR(M21/L21,"")</f>
        <v>0.9947777196172759</v>
      </c>
    </row>
    <row r="22" spans="1:26" s="2" customFormat="1" ht="15.6">
      <c r="A22" s="54">
        <f t="shared" si="0"/>
        <v>18</v>
      </c>
      <c r="B22" s="54" t="s">
        <v>11</v>
      </c>
      <c r="C22" s="53"/>
      <c r="D22" s="53"/>
      <c r="E22" s="29"/>
      <c r="F22" s="29"/>
      <c r="G22" s="29"/>
      <c r="H22" s="29"/>
      <c r="I22" s="29"/>
      <c r="J22" s="29"/>
      <c r="K22" s="29"/>
      <c r="L22" s="29"/>
      <c r="M22" s="95"/>
      <c r="N22" s="29"/>
      <c r="O22" s="110"/>
      <c r="P22" s="110"/>
      <c r="Q22" s="29"/>
      <c r="R22" s="29"/>
      <c r="S22" s="29"/>
      <c r="T22" s="88"/>
      <c r="U22" s="28"/>
      <c r="V22" s="28"/>
      <c r="W22" s="88"/>
      <c r="X22" s="28"/>
      <c r="Y22" s="88"/>
      <c r="Z22" s="88"/>
    </row>
    <row r="23" spans="1:29" s="2" customFormat="1" ht="15.6">
      <c r="A23" s="52">
        <f t="shared" si="0"/>
        <v>19</v>
      </c>
      <c r="B23" s="52" t="s">
        <v>48</v>
      </c>
      <c r="C23" s="51">
        <v>-192473973</v>
      </c>
      <c r="D23" s="51">
        <v>-186618847.02646068</v>
      </c>
      <c r="E23" s="50">
        <v>-191118538</v>
      </c>
      <c r="F23" s="50">
        <v>-182333478.24000007</v>
      </c>
      <c r="G23" s="50">
        <v>-185253847.02646068</v>
      </c>
      <c r="H23" s="50">
        <v>-184621199</v>
      </c>
      <c r="I23" s="50">
        <v>-185738702.51153976</v>
      </c>
      <c r="J23" s="50">
        <v>-186363494.18218753</v>
      </c>
      <c r="K23" s="50">
        <v>-185929470.89000002</v>
      </c>
      <c r="L23" s="50">
        <v>-184960968.26292416</v>
      </c>
      <c r="M23" s="66">
        <v>-182333478.24000007</v>
      </c>
      <c r="N23" s="50">
        <f>-204031917+-401093+4</f>
        <v>-204433006</v>
      </c>
      <c r="O23" s="111"/>
      <c r="P23" s="111"/>
      <c r="Q23" s="50">
        <v>-204930041</v>
      </c>
      <c r="R23" s="103">
        <f>Q23*1.056</f>
        <v>-216406123.296</v>
      </c>
      <c r="S23" s="104">
        <f>R23*1.067</f>
        <v>-230905333.556832</v>
      </c>
      <c r="T23" s="89">
        <f>+F23-E23</f>
        <v>8785059.75999993</v>
      </c>
      <c r="U23" s="49">
        <f>_xlfn.IFERROR(F23/E23,"")</f>
        <v>0.9540334503814595</v>
      </c>
      <c r="V23" s="24"/>
      <c r="W23" s="93">
        <f>M23-E23</f>
        <v>8785059.75999993</v>
      </c>
      <c r="X23" s="49">
        <f t="shared" si="3"/>
        <v>0.9677814104193502</v>
      </c>
      <c r="Y23" s="89">
        <f>M23-L23</f>
        <v>2627490.0229240954</v>
      </c>
      <c r="Z23" s="90">
        <f>_xlfn.IFERROR(M23/L23,"")</f>
        <v>0.9857943540867007</v>
      </c>
      <c r="AA23" s="79"/>
      <c r="AC23" s="80"/>
    </row>
    <row r="24" spans="1:30" s="2" customFormat="1" ht="15.6">
      <c r="A24" s="48">
        <f t="shared" si="0"/>
        <v>20</v>
      </c>
      <c r="B24" s="48" t="s">
        <v>49</v>
      </c>
      <c r="C24" s="47">
        <v>-85602045.2900001</v>
      </c>
      <c r="D24" s="47">
        <v>-115285383</v>
      </c>
      <c r="E24" s="47">
        <v>-129234611</v>
      </c>
      <c r="F24" s="46">
        <v>-107845267.93000004</v>
      </c>
      <c r="G24" s="46">
        <v>-115385383</v>
      </c>
      <c r="H24" s="46">
        <v>-127528678</v>
      </c>
      <c r="I24" s="46">
        <v>-128011189.56333333</v>
      </c>
      <c r="J24" s="46">
        <v>-129002915.24333332</v>
      </c>
      <c r="K24" s="46">
        <v>-129002915.24333332</v>
      </c>
      <c r="L24" s="46">
        <v>-114316963.39000003</v>
      </c>
      <c r="M24" s="46">
        <v>-107845267.93000002</v>
      </c>
      <c r="N24" s="46">
        <v>-138014050</v>
      </c>
      <c r="O24" s="107"/>
      <c r="P24" s="107"/>
      <c r="Q24" s="45">
        <v>-163977449</v>
      </c>
      <c r="R24" s="100">
        <f>Q24*1.03</f>
        <v>-168896772.47</v>
      </c>
      <c r="S24" s="102">
        <f>R24*1.03</f>
        <v>-173963675.6441</v>
      </c>
      <c r="T24" s="15">
        <f aca="true" t="shared" si="14" ref="T24:T31">+F24-E24</f>
        <v>21389343.069999963</v>
      </c>
      <c r="U24" s="14">
        <f aca="true" t="shared" si="15" ref="U24:U31">_xlfn.IFERROR(F24/E24,"")</f>
        <v>0.8344921464575773</v>
      </c>
      <c r="V24" s="24"/>
      <c r="W24" s="92">
        <f aca="true" t="shared" si="16" ref="W24:W32">M24-E24</f>
        <v>21389343.069999978</v>
      </c>
      <c r="X24" s="14">
        <f t="shared" si="3"/>
        <v>0.8845692535879575</v>
      </c>
      <c r="Y24" s="15">
        <f aca="true" t="shared" si="17" ref="Y24:Y32">M24-L24</f>
        <v>6471695.460000008</v>
      </c>
      <c r="Z24" s="14">
        <f aca="true" t="shared" si="18" ref="Z24:Z31">_xlfn.IFERROR(M24/L24,"")</f>
        <v>0.9433881440856561</v>
      </c>
      <c r="AA24" s="79"/>
      <c r="AD24" s="79"/>
    </row>
    <row r="25" spans="1:27" s="2" customFormat="1" ht="15.6">
      <c r="A25" s="48">
        <f t="shared" si="0"/>
        <v>21</v>
      </c>
      <c r="B25" s="48" t="s">
        <v>34</v>
      </c>
      <c r="C25" s="47">
        <v>-25993787.5999999</v>
      </c>
      <c r="D25" s="47">
        <v>-42805917</v>
      </c>
      <c r="E25" s="46">
        <v>-43084988</v>
      </c>
      <c r="F25" s="46">
        <v>-41014452.44999997</v>
      </c>
      <c r="G25" s="46">
        <v>-42805917</v>
      </c>
      <c r="H25" s="46">
        <v>-41783422</v>
      </c>
      <c r="I25" s="46">
        <v>-41744761.09837129</v>
      </c>
      <c r="J25" s="46">
        <v>-41744761.09837129</v>
      </c>
      <c r="K25" s="46">
        <v>-42701919.41539365</v>
      </c>
      <c r="L25" s="46">
        <v>-42701919.41539365</v>
      </c>
      <c r="M25" s="46">
        <v>-42701919.41539365</v>
      </c>
      <c r="N25" s="46">
        <f>-43772870</f>
        <v>-43772870</v>
      </c>
      <c r="O25" s="107"/>
      <c r="P25" s="107"/>
      <c r="Q25" s="45">
        <v>-43859635</v>
      </c>
      <c r="R25" s="99">
        <f>Q25*1.056</f>
        <v>-46315774.56</v>
      </c>
      <c r="S25" s="101">
        <f aca="true" t="shared" si="19" ref="S25:S26">R25*1.067</f>
        <v>-49418931.45552</v>
      </c>
      <c r="T25" s="15">
        <f t="shared" si="14"/>
        <v>2070535.5500000268</v>
      </c>
      <c r="U25" s="14">
        <f t="shared" si="15"/>
        <v>0.9519429934621305</v>
      </c>
      <c r="V25" s="24"/>
      <c r="W25" s="15">
        <f t="shared" si="16"/>
        <v>383068.58460634947</v>
      </c>
      <c r="X25" s="14">
        <f t="shared" si="3"/>
        <v>0.9911090010143127</v>
      </c>
      <c r="Y25" s="15">
        <f t="shared" si="17"/>
        <v>0</v>
      </c>
      <c r="Z25" s="14">
        <f t="shared" si="18"/>
        <v>1</v>
      </c>
      <c r="AA25" s="79"/>
    </row>
    <row r="26" spans="1:27" s="2" customFormat="1" ht="15.6">
      <c r="A26" s="48">
        <f t="shared" si="0"/>
        <v>22</v>
      </c>
      <c r="B26" s="48" t="s">
        <v>50</v>
      </c>
      <c r="C26" s="47">
        <v>-14901205.61</v>
      </c>
      <c r="D26" s="47">
        <v>-14337234</v>
      </c>
      <c r="E26" s="46">
        <v>-14555093</v>
      </c>
      <c r="F26" s="46">
        <v>-14405331.780000009</v>
      </c>
      <c r="G26" s="46">
        <v>-14337234</v>
      </c>
      <c r="H26" s="46">
        <v>-14980152</v>
      </c>
      <c r="I26" s="46">
        <v>-14492763.714072835</v>
      </c>
      <c r="J26" s="46">
        <v>-14315440.659999996</v>
      </c>
      <c r="K26" s="46">
        <v>-14245558.660000004</v>
      </c>
      <c r="L26" s="46">
        <v>-14658238.412000015</v>
      </c>
      <c r="M26" s="46">
        <v>-14405331.78000001</v>
      </c>
      <c r="N26" s="46">
        <v>-15480356</v>
      </c>
      <c r="O26" s="107"/>
      <c r="P26" s="107"/>
      <c r="Q26" s="45">
        <v>-15521140</v>
      </c>
      <c r="R26" s="99">
        <f>Q26*1.056</f>
        <v>-16390323.84</v>
      </c>
      <c r="S26" s="101">
        <f t="shared" si="19"/>
        <v>-17488475.53728</v>
      </c>
      <c r="T26" s="15">
        <f t="shared" si="14"/>
        <v>149761.21999999136</v>
      </c>
      <c r="U26" s="14">
        <f t="shared" si="15"/>
        <v>0.9897107342426468</v>
      </c>
      <c r="V26" s="24"/>
      <c r="W26" s="15">
        <f t="shared" si="16"/>
        <v>149761.2199999895</v>
      </c>
      <c r="X26" s="14">
        <f t="shared" si="3"/>
        <v>1.0070865512161287</v>
      </c>
      <c r="Y26" s="15">
        <f t="shared" si="17"/>
        <v>252906.63200000487</v>
      </c>
      <c r="Z26" s="14">
        <f t="shared" si="18"/>
        <v>0.9827464511838638</v>
      </c>
      <c r="AA26" s="79"/>
    </row>
    <row r="27" spans="1:27" s="2" customFormat="1" ht="15.6">
      <c r="A27" s="48">
        <f t="shared" si="0"/>
        <v>23</v>
      </c>
      <c r="B27" s="48" t="s">
        <v>31</v>
      </c>
      <c r="C27" s="47">
        <v>-4615332.48</v>
      </c>
      <c r="D27" s="47">
        <v>-3609845</v>
      </c>
      <c r="E27" s="46">
        <v>-3745645</v>
      </c>
      <c r="F27" s="46">
        <v>-4075540.8200000003</v>
      </c>
      <c r="G27" s="46">
        <v>-3609845</v>
      </c>
      <c r="H27" s="46">
        <v>-4098606</v>
      </c>
      <c r="I27" s="46">
        <v>-4264764.686666666</v>
      </c>
      <c r="J27" s="46">
        <v>-3886928.0299999993</v>
      </c>
      <c r="K27" s="46">
        <v>-3869497.5</v>
      </c>
      <c r="L27" s="46">
        <v>-3932034.5</v>
      </c>
      <c r="M27" s="46">
        <v>-4075540.8199999994</v>
      </c>
      <c r="N27" s="46">
        <v>-4086414</v>
      </c>
      <c r="O27" s="107"/>
      <c r="P27" s="107"/>
      <c r="Q27" s="45">
        <v>-4129097</v>
      </c>
      <c r="R27" s="99">
        <f>Q27*1.056</f>
        <v>-4360326.432</v>
      </c>
      <c r="S27" s="101">
        <f>R27*1.056</f>
        <v>-4604504.712192</v>
      </c>
      <c r="T27" s="15">
        <f t="shared" si="14"/>
        <v>-329895.8200000003</v>
      </c>
      <c r="U27" s="14">
        <f t="shared" si="15"/>
        <v>1.0880745025222627</v>
      </c>
      <c r="V27" s="24"/>
      <c r="W27" s="15">
        <f t="shared" si="16"/>
        <v>-329895.81999999937</v>
      </c>
      <c r="X27" s="14">
        <f t="shared" si="3"/>
        <v>1.049761656537125</v>
      </c>
      <c r="Y27" s="15">
        <f t="shared" si="17"/>
        <v>-143506.31999999937</v>
      </c>
      <c r="Z27" s="14">
        <f t="shared" si="18"/>
        <v>1.0364967092735324</v>
      </c>
      <c r="AA27" s="79"/>
    </row>
    <row r="28" spans="1:30" s="2" customFormat="1" ht="15.6">
      <c r="A28" s="48">
        <f t="shared" si="0"/>
        <v>24</v>
      </c>
      <c r="B28" s="48" t="s">
        <v>41</v>
      </c>
      <c r="C28" s="47">
        <v>-8801406</v>
      </c>
      <c r="D28" s="47">
        <v>-9760459</v>
      </c>
      <c r="E28" s="46">
        <v>-9951117</v>
      </c>
      <c r="F28" s="46">
        <v>-9657267.770000001</v>
      </c>
      <c r="G28" s="46">
        <v>-9760459</v>
      </c>
      <c r="H28" s="46">
        <v>-9839468</v>
      </c>
      <c r="I28" s="46">
        <v>-10318864.672955396</v>
      </c>
      <c r="J28" s="46">
        <v>-10155690.719999999</v>
      </c>
      <c r="K28" s="46">
        <v>-10128847.72</v>
      </c>
      <c r="L28" s="46">
        <v>-9896494.148000002</v>
      </c>
      <c r="M28" s="46">
        <v>-9657267.770000001</v>
      </c>
      <c r="N28" s="46">
        <v>-11105148</v>
      </c>
      <c r="O28" s="107"/>
      <c r="P28" s="107"/>
      <c r="Q28" s="45">
        <v>-11105148</v>
      </c>
      <c r="R28" s="99">
        <f>Q28*1.056</f>
        <v>-11727036.288</v>
      </c>
      <c r="S28" s="101">
        <f>R28*1.056</f>
        <v>-12383750.320128001</v>
      </c>
      <c r="T28" s="15">
        <f t="shared" si="14"/>
        <v>293849.2299999986</v>
      </c>
      <c r="U28" s="14">
        <f t="shared" si="15"/>
        <v>0.9704707290648881</v>
      </c>
      <c r="V28" s="24"/>
      <c r="W28" s="15">
        <f t="shared" si="16"/>
        <v>293849.2299999986</v>
      </c>
      <c r="X28" s="14">
        <f t="shared" si="3"/>
        <v>0.994510882346173</v>
      </c>
      <c r="Y28" s="15">
        <f t="shared" si="17"/>
        <v>239226.3780000005</v>
      </c>
      <c r="Z28" s="14">
        <f t="shared" si="18"/>
        <v>0.9758271591512692</v>
      </c>
      <c r="AA28" s="79"/>
      <c r="AD28" s="79"/>
    </row>
    <row r="29" spans="1:27" s="2" customFormat="1" ht="15.6">
      <c r="A29" s="48">
        <f t="shared" si="0"/>
        <v>25</v>
      </c>
      <c r="B29" s="48" t="s">
        <v>10</v>
      </c>
      <c r="C29" s="47">
        <v>0</v>
      </c>
      <c r="D29" s="47">
        <v>-66840</v>
      </c>
      <c r="E29" s="46">
        <v>-66840</v>
      </c>
      <c r="F29" s="46">
        <v>0</v>
      </c>
      <c r="G29" s="46">
        <v>-66840</v>
      </c>
      <c r="H29" s="46">
        <v>0</v>
      </c>
      <c r="I29" s="46">
        <v>0</v>
      </c>
      <c r="J29" s="46">
        <v>0</v>
      </c>
      <c r="K29" s="46">
        <v>0</v>
      </c>
      <c r="L29" s="46">
        <v>-33420</v>
      </c>
      <c r="M29" s="46">
        <v>0</v>
      </c>
      <c r="N29" s="46">
        <v>2500000</v>
      </c>
      <c r="O29" s="107"/>
      <c r="P29" s="107"/>
      <c r="Q29" s="45">
        <v>2500000</v>
      </c>
      <c r="R29" s="99"/>
      <c r="S29" s="101"/>
      <c r="T29" s="15">
        <f t="shared" si="14"/>
        <v>66840</v>
      </c>
      <c r="U29" s="14">
        <f t="shared" si="15"/>
        <v>0</v>
      </c>
      <c r="V29" s="24"/>
      <c r="W29" s="15">
        <f t="shared" si="16"/>
        <v>66840</v>
      </c>
      <c r="X29" s="14">
        <f t="shared" si="3"/>
        <v>0.5</v>
      </c>
      <c r="Y29" s="15">
        <f t="shared" si="17"/>
        <v>33420</v>
      </c>
      <c r="Z29" s="14">
        <f t="shared" si="18"/>
        <v>0</v>
      </c>
      <c r="AA29" s="79"/>
    </row>
    <row r="30" spans="1:27" s="2" customFormat="1" ht="15.6">
      <c r="A30" s="48">
        <f t="shared" si="0"/>
        <v>26</v>
      </c>
      <c r="B30" s="48" t="s">
        <v>51</v>
      </c>
      <c r="C30" s="47">
        <v>-4982297.91</v>
      </c>
      <c r="D30" s="47">
        <v>-4610666</v>
      </c>
      <c r="E30" s="46">
        <v>-4675851</v>
      </c>
      <c r="F30" s="46">
        <v>-5958913.330000001</v>
      </c>
      <c r="G30" s="46">
        <v>-4610666</v>
      </c>
      <c r="H30" s="46">
        <v>-5030160</v>
      </c>
      <c r="I30" s="46">
        <v>-5034400.232981915</v>
      </c>
      <c r="J30" s="46">
        <v>-5184100.03</v>
      </c>
      <c r="K30" s="46">
        <v>-5308087.68</v>
      </c>
      <c r="L30" s="46">
        <v>-5412809.869999999</v>
      </c>
      <c r="M30" s="46">
        <v>-5958913.330000002</v>
      </c>
      <c r="N30" s="46">
        <v>-4614994</v>
      </c>
      <c r="O30" s="107"/>
      <c r="P30" s="107"/>
      <c r="Q30" s="45">
        <v>-4614994</v>
      </c>
      <c r="R30" s="99">
        <f>Q30</f>
        <v>-4614994</v>
      </c>
      <c r="S30" s="101">
        <f>R30</f>
        <v>-4614994</v>
      </c>
      <c r="T30" s="15">
        <f t="shared" si="14"/>
        <v>-1283062.330000001</v>
      </c>
      <c r="U30" s="14">
        <f t="shared" si="15"/>
        <v>1.2744018853466461</v>
      </c>
      <c r="V30" s="24"/>
      <c r="W30" s="15">
        <f t="shared" si="16"/>
        <v>-1283062.330000002</v>
      </c>
      <c r="X30" s="14">
        <f t="shared" si="3"/>
        <v>1.1576095709636598</v>
      </c>
      <c r="Y30" s="15">
        <f t="shared" si="17"/>
        <v>-546103.4600000028</v>
      </c>
      <c r="Z30" s="14">
        <f t="shared" si="18"/>
        <v>1.1008909370762736</v>
      </c>
      <c r="AA30" s="79"/>
    </row>
    <row r="31" spans="1:26" s="2" customFormat="1" ht="15.6">
      <c r="A31" s="48">
        <f t="shared" si="0"/>
        <v>27</v>
      </c>
      <c r="B31" s="48" t="s">
        <v>52</v>
      </c>
      <c r="C31" s="47">
        <v>-3176680</v>
      </c>
      <c r="D31" s="47">
        <v>0</v>
      </c>
      <c r="E31" s="46">
        <v>0</v>
      </c>
      <c r="F31" s="46">
        <v>0</v>
      </c>
      <c r="G31" s="46">
        <v>-900000</v>
      </c>
      <c r="H31" s="46">
        <v>-900000</v>
      </c>
      <c r="I31" s="46">
        <v>-700000</v>
      </c>
      <c r="J31" s="46">
        <f>-750000-710000</f>
        <v>-1460000</v>
      </c>
      <c r="K31" s="46">
        <v>-1460000</v>
      </c>
      <c r="L31" s="46">
        <v>-1460000</v>
      </c>
      <c r="M31" s="46">
        <v>-1277696.31</v>
      </c>
      <c r="N31" s="46"/>
      <c r="O31" s="107"/>
      <c r="P31" s="107"/>
      <c r="Q31" s="45">
        <f aca="true" t="shared" si="20" ref="Q31">+O31</f>
        <v>0</v>
      </c>
      <c r="R31" s="46"/>
      <c r="S31" s="46"/>
      <c r="T31" s="15">
        <f t="shared" si="14"/>
        <v>0</v>
      </c>
      <c r="U31" s="14" t="str">
        <f t="shared" si="15"/>
        <v/>
      </c>
      <c r="V31" s="24"/>
      <c r="W31" s="15">
        <f t="shared" si="16"/>
        <v>-1277696.31</v>
      </c>
      <c r="X31" s="14" t="str">
        <f t="shared" si="3"/>
        <v/>
      </c>
      <c r="Y31" s="15">
        <f t="shared" si="17"/>
        <v>182303.68999999994</v>
      </c>
      <c r="Z31" s="14">
        <f t="shared" si="18"/>
        <v>0.8751344589041097</v>
      </c>
    </row>
    <row r="32" spans="1:26" s="2" customFormat="1" ht="15.6">
      <c r="A32" s="44">
        <f t="shared" si="0"/>
        <v>28</v>
      </c>
      <c r="B32" s="44"/>
      <c r="C32" s="43"/>
      <c r="D32" s="43"/>
      <c r="E32" s="42"/>
      <c r="F32" s="42"/>
      <c r="G32" s="42"/>
      <c r="H32" s="42"/>
      <c r="I32" s="42"/>
      <c r="J32" s="42"/>
      <c r="K32" s="42"/>
      <c r="L32" s="42"/>
      <c r="M32" s="42"/>
      <c r="N32" s="42"/>
      <c r="O32" s="112"/>
      <c r="P32" s="112"/>
      <c r="Q32" s="42"/>
      <c r="R32" s="42"/>
      <c r="S32" s="42"/>
      <c r="T32" s="40"/>
      <c r="U32" s="39"/>
      <c r="V32" s="41"/>
      <c r="W32" s="15">
        <f t="shared" si="16"/>
        <v>0</v>
      </c>
      <c r="X32" s="39" t="str">
        <f t="shared" si="3"/>
        <v/>
      </c>
      <c r="Y32" s="15">
        <f t="shared" si="17"/>
        <v>0</v>
      </c>
      <c r="Z32" s="15" t="str">
        <f t="shared" si="10"/>
        <v/>
      </c>
    </row>
    <row r="33" spans="1:26" s="2" customFormat="1" ht="15.6">
      <c r="A33" s="13">
        <f t="shared" si="0"/>
        <v>29</v>
      </c>
      <c r="B33" s="13" t="s">
        <v>9</v>
      </c>
      <c r="C33" s="38">
        <f aca="true" t="shared" si="21" ref="C33:Q33">SUM(C23:C31)</f>
        <v>-340546727.89000005</v>
      </c>
      <c r="D33" s="38">
        <f t="shared" si="21"/>
        <v>-377095191.02646065</v>
      </c>
      <c r="E33" s="38">
        <f t="shared" si="21"/>
        <v>-396432683</v>
      </c>
      <c r="F33" s="38">
        <f t="shared" si="21"/>
        <v>-365290252.32000005</v>
      </c>
      <c r="G33" s="38">
        <f t="shared" si="21"/>
        <v>-376730191.02646065</v>
      </c>
      <c r="H33" s="38">
        <f t="shared" si="21"/>
        <v>-388781685</v>
      </c>
      <c r="I33" s="38">
        <f t="shared" si="21"/>
        <v>-390305446.47992116</v>
      </c>
      <c r="J33" s="38">
        <f t="shared" si="21"/>
        <v>-392113329.9638921</v>
      </c>
      <c r="K33" s="38">
        <f aca="true" t="shared" si="22" ref="K33:M33">SUM(K23:K31)</f>
        <v>-392646297.10872704</v>
      </c>
      <c r="L33" s="38">
        <f t="shared" si="22"/>
        <v>-377372847.99831784</v>
      </c>
      <c r="M33" s="38">
        <f t="shared" si="22"/>
        <v>-368255415.5953937</v>
      </c>
      <c r="N33" s="38">
        <f t="shared" si="21"/>
        <v>-419006838</v>
      </c>
      <c r="O33" s="113">
        <f t="shared" si="21"/>
        <v>0</v>
      </c>
      <c r="P33" s="113">
        <f t="shared" si="21"/>
        <v>0</v>
      </c>
      <c r="Q33" s="38">
        <f t="shared" si="21"/>
        <v>-445637504</v>
      </c>
      <c r="R33" s="38">
        <f>SUM(R23:R31)</f>
        <v>-468711350.886</v>
      </c>
      <c r="S33" s="38">
        <f>SUM(S23:S31)</f>
        <v>-493379665.22605205</v>
      </c>
      <c r="T33" s="35">
        <f>+F33-E33</f>
        <v>31142430.679999948</v>
      </c>
      <c r="U33" s="34">
        <f>_xlfn.IFERROR(F33/E33,"")</f>
        <v>0.9214433319565634</v>
      </c>
      <c r="V33" s="36"/>
      <c r="W33" s="35">
        <f>SUM(W23:W32)</f>
        <v>28177267.404606245</v>
      </c>
      <c r="X33" s="34">
        <f>_xlfn.IFERROR(M33/E33,"")</f>
        <v>0.9289229455266526</v>
      </c>
      <c r="Y33" s="35">
        <f>SUM(Y22:Y32)</f>
        <v>9117432.402924107</v>
      </c>
      <c r="Z33" s="34">
        <f>_xlfn.IFERROR(M33/L33,"")</f>
        <v>0.9758397233630206</v>
      </c>
    </row>
    <row r="34" spans="1:26" s="2" customFormat="1" ht="15.6">
      <c r="A34" s="23">
        <f t="shared" si="0"/>
        <v>30</v>
      </c>
      <c r="B34" s="18" t="s">
        <v>8</v>
      </c>
      <c r="C34" s="17">
        <v>-4959</v>
      </c>
      <c r="D34" s="22">
        <v>0</v>
      </c>
      <c r="E34" s="22">
        <v>0</v>
      </c>
      <c r="F34" s="22">
        <v>0</v>
      </c>
      <c r="G34" s="22">
        <v>0</v>
      </c>
      <c r="H34" s="22">
        <v>0</v>
      </c>
      <c r="I34" s="22">
        <v>0</v>
      </c>
      <c r="J34" s="22">
        <v>0</v>
      </c>
      <c r="K34" s="22">
        <v>0</v>
      </c>
      <c r="L34" s="22">
        <v>0</v>
      </c>
      <c r="M34" s="22">
        <v>0</v>
      </c>
      <c r="N34" s="22">
        <v>0</v>
      </c>
      <c r="O34" s="114"/>
      <c r="P34" s="114"/>
      <c r="Q34" s="22"/>
      <c r="R34" s="22">
        <v>0</v>
      </c>
      <c r="S34" s="22">
        <v>0</v>
      </c>
      <c r="T34" s="32"/>
      <c r="U34" s="31"/>
      <c r="V34" s="3"/>
      <c r="W34" s="32">
        <f aca="true" t="shared" si="23" ref="W34">K34-E34</f>
        <v>0</v>
      </c>
      <c r="X34" s="31" t="str">
        <f t="shared" si="3"/>
        <v/>
      </c>
      <c r="Y34" s="32">
        <f aca="true" t="shared" si="24" ref="Y34:Y38">L34-K34</f>
        <v>0</v>
      </c>
      <c r="Z34" s="31" t="str">
        <f t="shared" si="10"/>
        <v/>
      </c>
    </row>
    <row r="35" spans="1:26" s="2" customFormat="1" ht="15.6">
      <c r="A35" s="8">
        <f t="shared" si="0"/>
        <v>31</v>
      </c>
      <c r="B35" s="8" t="s">
        <v>7</v>
      </c>
      <c r="C35" s="37">
        <f aca="true" t="shared" si="25" ref="C35:R35">C5+C21+C33+C34</f>
        <v>1517527.2099997997</v>
      </c>
      <c r="D35" s="37">
        <f t="shared" si="25"/>
        <v>5025240.183539152</v>
      </c>
      <c r="E35" s="37">
        <f t="shared" si="25"/>
        <v>5625070.2099998</v>
      </c>
      <c r="F35" s="37">
        <f t="shared" si="25"/>
        <v>13729726.6899997</v>
      </c>
      <c r="G35" s="37">
        <f t="shared" si="25"/>
        <v>4948244.183539152</v>
      </c>
      <c r="H35" s="37">
        <f t="shared" si="25"/>
        <v>3614161.2099997997</v>
      </c>
      <c r="I35" s="37">
        <f t="shared" si="25"/>
        <v>699150.7693712115</v>
      </c>
      <c r="J35" s="37">
        <f t="shared" si="25"/>
        <v>4218185.520963192</v>
      </c>
      <c r="K35" s="37">
        <f t="shared" si="25"/>
        <v>4508777.977275193</v>
      </c>
      <c r="L35" s="37">
        <f>L5+L21+L33+L34</f>
        <v>5488137.251684368</v>
      </c>
      <c r="M35" s="37">
        <f>M5+M21+M33+M34</f>
        <v>12614087.194606006</v>
      </c>
      <c r="N35" s="37">
        <f t="shared" si="25"/>
        <v>12633160.194606006</v>
      </c>
      <c r="O35" s="115">
        <f t="shared" si="25"/>
        <v>0</v>
      </c>
      <c r="P35" s="115"/>
      <c r="Q35" s="37">
        <f t="shared" si="25"/>
        <v>12722698.194606006</v>
      </c>
      <c r="R35" s="37">
        <f t="shared" si="25"/>
        <v>1230031.9546060562</v>
      </c>
      <c r="S35" s="37">
        <f aca="true" t="shared" si="26" ref="S35">S5+S21+S33+S34</f>
        <v>-22007346.961777925</v>
      </c>
      <c r="T35" s="35">
        <f>+F35-E35</f>
        <v>8104656.4799999</v>
      </c>
      <c r="U35" s="34">
        <f>_xlfn.IFERROR(F35/E35,"")</f>
        <v>2.440809834798522</v>
      </c>
      <c r="V35" s="36"/>
      <c r="W35" s="94">
        <f>M35-E35</f>
        <v>6989016.984606206</v>
      </c>
      <c r="X35" s="34">
        <f>_xlfn.IFERROR(M35/E35,"")</f>
        <v>2.2424764000601614</v>
      </c>
      <c r="Y35" s="35">
        <f>M35-L35</f>
        <v>7125949.9429216385</v>
      </c>
      <c r="Z35" s="34">
        <f>_xlfn.IFERROR(M35/L35,"")</f>
        <v>2.2984277936443025</v>
      </c>
    </row>
    <row r="36" spans="1:26" s="2" customFormat="1" ht="15.6">
      <c r="A36" s="23">
        <f t="shared" si="0"/>
        <v>32</v>
      </c>
      <c r="B36" s="23" t="s">
        <v>6</v>
      </c>
      <c r="C36" s="33"/>
      <c r="D36" s="33"/>
      <c r="E36" s="17"/>
      <c r="F36" s="17"/>
      <c r="G36" s="17"/>
      <c r="H36" s="17"/>
      <c r="I36" s="17"/>
      <c r="J36" s="17"/>
      <c r="K36" s="17"/>
      <c r="L36" s="17"/>
      <c r="M36" s="17"/>
      <c r="N36" s="17"/>
      <c r="O36" s="116"/>
      <c r="P36" s="116"/>
      <c r="Q36" s="17"/>
      <c r="R36" s="17"/>
      <c r="S36" s="17"/>
      <c r="T36" s="32"/>
      <c r="U36" s="31"/>
      <c r="V36" s="3"/>
      <c r="W36" s="32">
        <f>L36-E36</f>
        <v>0</v>
      </c>
      <c r="X36" s="31" t="str">
        <f aca="true" t="shared" si="27" ref="X36:X41">_xlfn.IFERROR(K36/E36,"")</f>
        <v/>
      </c>
      <c r="Y36" s="32">
        <f t="shared" si="24"/>
        <v>0</v>
      </c>
      <c r="Z36" s="31" t="str">
        <f t="shared" si="10"/>
        <v/>
      </c>
    </row>
    <row r="37" spans="1:26" s="2" customFormat="1" ht="15.6">
      <c r="A37" s="27">
        <f t="shared" si="0"/>
        <v>33</v>
      </c>
      <c r="B37" s="27" t="s">
        <v>5</v>
      </c>
      <c r="C37" s="29"/>
      <c r="D37" s="30"/>
      <c r="E37" s="30"/>
      <c r="F37" s="30"/>
      <c r="G37" s="30">
        <v>0</v>
      </c>
      <c r="H37" s="30"/>
      <c r="I37" s="30"/>
      <c r="J37" s="30"/>
      <c r="K37" s="30"/>
      <c r="L37" s="30"/>
      <c r="M37" s="30"/>
      <c r="N37" s="30"/>
      <c r="O37" s="117"/>
      <c r="P37" s="117"/>
      <c r="Q37" s="30"/>
      <c r="R37" s="30"/>
      <c r="S37" s="30"/>
      <c r="T37" s="15">
        <f>+F37-E37</f>
        <v>0</v>
      </c>
      <c r="U37" s="14" t="str">
        <f>_xlfn.IFERROR(F37/E37,"")</f>
        <v/>
      </c>
      <c r="V37" s="24"/>
      <c r="W37" s="15">
        <f aca="true" t="shared" si="28" ref="W37:W38">L37-E37</f>
        <v>0</v>
      </c>
      <c r="X37" s="14" t="str">
        <f t="shared" si="27"/>
        <v/>
      </c>
      <c r="Y37" s="15">
        <f t="shared" si="24"/>
        <v>0</v>
      </c>
      <c r="Z37" s="14" t="str">
        <f t="shared" si="10"/>
        <v/>
      </c>
    </row>
    <row r="38" spans="1:26" s="2" customFormat="1" ht="15.6">
      <c r="A38" s="27">
        <f t="shared" si="0"/>
        <v>34</v>
      </c>
      <c r="B38" s="27" t="s">
        <v>4</v>
      </c>
      <c r="C38" s="29"/>
      <c r="D38" s="29"/>
      <c r="E38" s="29"/>
      <c r="F38" s="29"/>
      <c r="G38" s="29"/>
      <c r="H38" s="29"/>
      <c r="I38" s="29"/>
      <c r="J38" s="29"/>
      <c r="K38" s="29"/>
      <c r="L38" s="29"/>
      <c r="M38" s="29"/>
      <c r="N38" s="29"/>
      <c r="O38" s="110"/>
      <c r="P38" s="110"/>
      <c r="Q38" s="29"/>
      <c r="R38" s="29"/>
      <c r="S38" s="29"/>
      <c r="T38" s="15">
        <f>+F38-E38</f>
        <v>0</v>
      </c>
      <c r="U38" s="14" t="str">
        <f>_xlfn.IFERROR(F38/E38,"")</f>
        <v/>
      </c>
      <c r="V38" s="24"/>
      <c r="W38" s="15">
        <f t="shared" si="28"/>
        <v>0</v>
      </c>
      <c r="X38" s="14" t="str">
        <f t="shared" si="27"/>
        <v/>
      </c>
      <c r="Y38" s="15">
        <f t="shared" si="24"/>
        <v>0</v>
      </c>
      <c r="Z38" s="14" t="str">
        <f t="shared" si="10"/>
        <v/>
      </c>
    </row>
    <row r="39" spans="1:26" s="2" customFormat="1" ht="15.6">
      <c r="A39" s="27">
        <f t="shared" si="0"/>
        <v>35</v>
      </c>
      <c r="B39" s="27" t="s">
        <v>65</v>
      </c>
      <c r="C39" s="26">
        <f>+(C33+C16+C15+C10-C31)/24</f>
        <v>-11018714.648333335</v>
      </c>
      <c r="D39" s="26">
        <f>+(D33+D16+D15+D10-D31)/24</f>
        <v>-10797820.251102528</v>
      </c>
      <c r="E39" s="26">
        <f>+(E33+E16+E15+E10-E31)/24</f>
        <v>-11067163.958333334</v>
      </c>
      <c r="F39" s="26">
        <f>+(F33+F14+F13+F8-F31)/24</f>
        <v>-10583083.192500003</v>
      </c>
      <c r="G39" s="26">
        <f aca="true" t="shared" si="29" ref="G39:K39">+(G33+G16+G15+G10-G31)/24</f>
        <v>-10763321.792769194</v>
      </c>
      <c r="H39" s="26">
        <f t="shared" si="29"/>
        <v>-10739208.625</v>
      </c>
      <c r="I39" s="26">
        <f t="shared" si="29"/>
        <v>-10781683.768081747</v>
      </c>
      <c r="J39" s="26">
        <f t="shared" si="29"/>
        <v>-10825179.808078839</v>
      </c>
      <c r="K39" s="26">
        <f t="shared" si="29"/>
        <v>-10840095.064113626</v>
      </c>
      <c r="L39" s="26">
        <v>-10840095.064113626</v>
      </c>
      <c r="M39" s="26">
        <f>+(M33+M16+M15+M10-M31)/24</f>
        <v>-10741064.893558072</v>
      </c>
      <c r="N39" s="26">
        <f>+(N33+N16+N15+N10-N31)/24</f>
        <v>-11025497.916666666</v>
      </c>
      <c r="O39" s="118"/>
      <c r="P39" s="118"/>
      <c r="Q39" s="26">
        <f>+(Q33+Q16+Q15+Q10-Q31)/24</f>
        <v>-11102356.208333334</v>
      </c>
      <c r="R39" s="26">
        <f>+(R33+R16+R15+R10-R31)/24</f>
        <v>-11712933.993999997</v>
      </c>
      <c r="S39" s="26">
        <f>+(S33+S16+S15+S10-S31)/24</f>
        <v>-12366359.916068003</v>
      </c>
      <c r="T39" s="15">
        <f>+F39-E39</f>
        <v>484080.7658333313</v>
      </c>
      <c r="U39" s="14">
        <f>_xlfn.IFERROR(F39/E39,"")</f>
        <v>0.9562597276361096</v>
      </c>
      <c r="V39" s="24"/>
      <c r="W39" s="15">
        <f>M39-E39</f>
        <v>326099.064775262</v>
      </c>
      <c r="X39" s="14">
        <f t="shared" si="27"/>
        <v>0.9794826483935182</v>
      </c>
      <c r="Y39" s="15">
        <f aca="true" t="shared" si="30" ref="Y39:Y40">M39-L39</f>
        <v>99030.17055555433</v>
      </c>
      <c r="Z39" s="14">
        <f>_xlfn.IFERROR(M39/L39,"")</f>
        <v>0.9908644555264653</v>
      </c>
    </row>
    <row r="40" spans="1:26" s="2" customFormat="1" ht="15.6">
      <c r="A40" s="23">
        <f t="shared" si="0"/>
        <v>36</v>
      </c>
      <c r="B40" s="23" t="s">
        <v>3</v>
      </c>
      <c r="C40" s="22">
        <f aca="true" t="shared" si="31" ref="C40:R40">SUM(C37:C39)</f>
        <v>-11018714.648333335</v>
      </c>
      <c r="D40" s="22">
        <f t="shared" si="31"/>
        <v>-10797820.251102528</v>
      </c>
      <c r="E40" s="22">
        <f t="shared" si="31"/>
        <v>-11067163.958333334</v>
      </c>
      <c r="F40" s="22">
        <f t="shared" si="31"/>
        <v>-10583083.192500003</v>
      </c>
      <c r="G40" s="22">
        <f t="shared" si="31"/>
        <v>-10763321.792769194</v>
      </c>
      <c r="H40" s="22">
        <f t="shared" si="31"/>
        <v>-10739208.625</v>
      </c>
      <c r="I40" s="22">
        <f t="shared" si="31"/>
        <v>-10781683.768081747</v>
      </c>
      <c r="J40" s="22">
        <f t="shared" si="31"/>
        <v>-10825179.808078839</v>
      </c>
      <c r="K40" s="22">
        <f aca="true" t="shared" si="32" ref="K40:M40">SUM(K37:K39)</f>
        <v>-10840095.064113626</v>
      </c>
      <c r="L40" s="22">
        <f t="shared" si="32"/>
        <v>-10840095.064113626</v>
      </c>
      <c r="M40" s="22">
        <f t="shared" si="32"/>
        <v>-10741064.893558072</v>
      </c>
      <c r="N40" s="22">
        <f t="shared" si="31"/>
        <v>-11025497.916666666</v>
      </c>
      <c r="O40" s="114"/>
      <c r="P40" s="114"/>
      <c r="Q40" s="22">
        <f t="shared" si="31"/>
        <v>-11102356.208333334</v>
      </c>
      <c r="R40" s="22">
        <f t="shared" si="31"/>
        <v>-11712933.993999997</v>
      </c>
      <c r="S40" s="22">
        <f aca="true" t="shared" si="33" ref="S40">SUM(S37:S39)</f>
        <v>-12366359.916068003</v>
      </c>
      <c r="T40" s="20">
        <f>+F40-E40</f>
        <v>484080.7658333313</v>
      </c>
      <c r="U40" s="19">
        <f>_xlfn.IFERROR(F40/E40,"")</f>
        <v>0.9562597276361096</v>
      </c>
      <c r="V40" s="21"/>
      <c r="W40" s="20">
        <f>M40-E40</f>
        <v>326099.064775262</v>
      </c>
      <c r="X40" s="19">
        <f t="shared" si="27"/>
        <v>0.9794826483935182</v>
      </c>
      <c r="Y40" s="15">
        <f t="shared" si="30"/>
        <v>99030.17055555433</v>
      </c>
      <c r="Z40" s="19">
        <f>_xlfn.IFERROR(M40/L40,"")</f>
        <v>0.9908644555264653</v>
      </c>
    </row>
    <row r="41" spans="1:26" s="2" customFormat="1" ht="15.6">
      <c r="A41" s="18">
        <f t="shared" si="0"/>
        <v>37</v>
      </c>
      <c r="B41" s="18" t="s">
        <v>2</v>
      </c>
      <c r="C41" s="17">
        <f aca="true" t="shared" si="34" ref="C41:R41">ABS(IF(C35+C40&gt;0,0,C35+C40))</f>
        <v>9501187.438333536</v>
      </c>
      <c r="D41" s="17">
        <f t="shared" si="34"/>
        <v>5772580.067563375</v>
      </c>
      <c r="E41" s="17">
        <f t="shared" si="34"/>
        <v>5442093.748333534</v>
      </c>
      <c r="F41" s="17">
        <f t="shared" si="34"/>
        <v>0</v>
      </c>
      <c r="G41" s="17">
        <f t="shared" si="34"/>
        <v>5815077.6092300415</v>
      </c>
      <c r="H41" s="17">
        <f t="shared" si="34"/>
        <v>7125047.4150002</v>
      </c>
      <c r="I41" s="17">
        <f t="shared" si="34"/>
        <v>10082532.998710535</v>
      </c>
      <c r="J41" s="17">
        <f t="shared" si="34"/>
        <v>6606994.2871156465</v>
      </c>
      <c r="K41" s="17">
        <f>ABS(IF(K35+K40&gt;0,0,K35+K40))</f>
        <v>6331317.0868384335</v>
      </c>
      <c r="L41" s="17">
        <f>ABS(IF(L35+L40&gt;0,0,L35+L40))</f>
        <v>5351957.812429259</v>
      </c>
      <c r="M41" s="17">
        <f>ABS(IF(M35+M40&gt;0,0,M35+M40))</f>
        <v>0</v>
      </c>
      <c r="N41" s="17">
        <f t="shared" si="34"/>
        <v>0</v>
      </c>
      <c r="O41" s="116"/>
      <c r="P41" s="116"/>
      <c r="Q41" s="17">
        <f t="shared" si="34"/>
        <v>0</v>
      </c>
      <c r="R41" s="17">
        <f t="shared" si="34"/>
        <v>10482902.039393941</v>
      </c>
      <c r="S41" s="17">
        <f aca="true" t="shared" si="35" ref="S41">ABS(IF(S35+S40&gt;0,0,S35+S40))</f>
        <v>34373706.87784593</v>
      </c>
      <c r="T41" s="15">
        <f>+F41-E41</f>
        <v>-5442093.748333534</v>
      </c>
      <c r="U41" s="14">
        <f>_xlfn.IFERROR(F41/E41,"")</f>
        <v>0</v>
      </c>
      <c r="V41" s="16"/>
      <c r="W41" s="15">
        <f>M41-E41</f>
        <v>-5442093.748333534</v>
      </c>
      <c r="X41" s="14">
        <f t="shared" si="27"/>
        <v>1.1633972841385165</v>
      </c>
      <c r="Y41" s="15">
        <f>M41-L41</f>
        <v>-5351957.812429259</v>
      </c>
      <c r="Z41" s="14">
        <f>_xlfn.IFERROR(M41/L41,"")</f>
        <v>0</v>
      </c>
    </row>
    <row r="42" spans="1:26" s="2" customFormat="1" ht="15.6">
      <c r="A42" s="13">
        <f t="shared" si="0"/>
        <v>38</v>
      </c>
      <c r="B42" s="13"/>
      <c r="C42" s="12"/>
      <c r="D42" s="12"/>
      <c r="E42" s="11"/>
      <c r="F42" s="11"/>
      <c r="G42" s="11"/>
      <c r="H42" s="11"/>
      <c r="I42" s="11"/>
      <c r="J42" s="11"/>
      <c r="K42" s="11"/>
      <c r="L42" s="11"/>
      <c r="M42" s="11"/>
      <c r="N42" s="11"/>
      <c r="O42" s="119"/>
      <c r="P42" s="119"/>
      <c r="Q42" s="11"/>
      <c r="R42" s="11"/>
      <c r="S42" s="11"/>
      <c r="T42" s="10"/>
      <c r="U42" s="9"/>
      <c r="V42" s="3"/>
      <c r="W42" s="10"/>
      <c r="X42" s="9"/>
      <c r="Y42" s="10"/>
      <c r="Z42" s="9"/>
    </row>
    <row r="43" spans="1:26" s="2" customFormat="1" ht="15.6">
      <c r="A43" s="8">
        <f t="shared" si="0"/>
        <v>39</v>
      </c>
      <c r="B43" s="8" t="s">
        <v>1</v>
      </c>
      <c r="C43" s="7">
        <f aca="true" t="shared" si="36" ref="C43:R43">ROUND(C35+C40+C41,0)</f>
        <v>0</v>
      </c>
      <c r="D43" s="7">
        <f t="shared" si="36"/>
        <v>0</v>
      </c>
      <c r="E43" s="7">
        <f t="shared" si="36"/>
        <v>0</v>
      </c>
      <c r="F43" s="7"/>
      <c r="G43" s="7">
        <f t="shared" si="36"/>
        <v>0</v>
      </c>
      <c r="H43" s="7">
        <f t="shared" si="36"/>
        <v>0</v>
      </c>
      <c r="I43" s="7">
        <f t="shared" si="36"/>
        <v>0</v>
      </c>
      <c r="J43" s="7">
        <f t="shared" si="36"/>
        <v>0</v>
      </c>
      <c r="K43" s="7">
        <f t="shared" si="36"/>
        <v>0</v>
      </c>
      <c r="L43" s="7">
        <f t="shared" si="36"/>
        <v>0</v>
      </c>
      <c r="M43" s="7">
        <f t="shared" si="36"/>
        <v>1873022</v>
      </c>
      <c r="N43" s="7">
        <f t="shared" si="36"/>
        <v>1607662</v>
      </c>
      <c r="O43" s="120">
        <f t="shared" si="36"/>
        <v>0</v>
      </c>
      <c r="P43" s="120">
        <f t="shared" si="36"/>
        <v>0</v>
      </c>
      <c r="Q43" s="7">
        <f t="shared" si="36"/>
        <v>1620342</v>
      </c>
      <c r="R43" s="7">
        <f t="shared" si="36"/>
        <v>0</v>
      </c>
      <c r="S43" s="7">
        <f aca="true" t="shared" si="37" ref="S43">ROUND(S35+S40+S41,0)</f>
        <v>0</v>
      </c>
      <c r="T43" s="5"/>
      <c r="U43" s="4"/>
      <c r="V43" s="6"/>
      <c r="W43" s="5"/>
      <c r="X43" s="4"/>
      <c r="Y43" s="5"/>
      <c r="Z43" s="4"/>
    </row>
    <row r="44" spans="1:24" s="2" customFormat="1" ht="6.75" customHeight="1">
      <c r="A44" s="87"/>
      <c r="B44" s="86"/>
      <c r="C44" s="86"/>
      <c r="D44" s="86"/>
      <c r="E44" s="86"/>
      <c r="F44" s="86"/>
      <c r="G44" s="86"/>
      <c r="H44" s="86"/>
      <c r="I44" s="86"/>
      <c r="J44" s="86"/>
      <c r="K44" s="86"/>
      <c r="L44" s="86"/>
      <c r="M44" s="86"/>
      <c r="N44" s="96"/>
      <c r="O44" s="96"/>
      <c r="P44" s="96"/>
      <c r="Q44" s="96"/>
      <c r="R44" s="86"/>
      <c r="S44" s="86"/>
      <c r="T44" s="87"/>
      <c r="U44" s="87"/>
      <c r="V44" s="87"/>
      <c r="W44" s="87"/>
      <c r="X44" s="87"/>
    </row>
    <row r="45" spans="2:26" ht="15.6">
      <c r="B45" s="84" t="s">
        <v>0</v>
      </c>
      <c r="C45" s="85"/>
      <c r="D45" s="86"/>
      <c r="E45" s="86"/>
      <c r="F45" s="86"/>
      <c r="G45" s="86"/>
      <c r="H45" s="86"/>
      <c r="I45" s="86"/>
      <c r="J45" s="86"/>
      <c r="K45" s="86"/>
      <c r="L45" s="86"/>
      <c r="M45" s="86"/>
      <c r="N45" s="96"/>
      <c r="O45" s="96"/>
      <c r="P45" s="96"/>
      <c r="Q45" s="96"/>
      <c r="R45" s="86"/>
      <c r="S45" s="86"/>
      <c r="T45" s="86"/>
      <c r="U45" s="86"/>
      <c r="V45" s="86"/>
      <c r="W45" s="86"/>
      <c r="Y45" s="2"/>
      <c r="Z45" s="2"/>
    </row>
    <row r="46" spans="1:26" ht="67.5" customHeight="1">
      <c r="A46" s="83"/>
      <c r="B46" s="121" t="s">
        <v>68</v>
      </c>
      <c r="C46" s="121"/>
      <c r="D46" s="121"/>
      <c r="E46" s="121"/>
      <c r="F46" s="121"/>
      <c r="G46" s="121"/>
      <c r="H46" s="121"/>
      <c r="I46" s="121"/>
      <c r="J46" s="121"/>
      <c r="K46" s="121"/>
      <c r="L46" s="121"/>
      <c r="M46" s="121"/>
      <c r="N46" s="121"/>
      <c r="O46" s="121"/>
      <c r="P46" s="121"/>
      <c r="Q46" s="121"/>
      <c r="R46" s="121"/>
      <c r="S46" s="121"/>
      <c r="T46" s="121"/>
      <c r="U46" s="121"/>
      <c r="V46" s="121"/>
      <c r="W46" s="121"/>
      <c r="X46" s="83"/>
      <c r="Y46" s="2"/>
      <c r="Z46" s="2"/>
    </row>
    <row r="47" spans="1:26" ht="60" customHeight="1">
      <c r="A47" s="83"/>
      <c r="B47" s="121" t="s">
        <v>58</v>
      </c>
      <c r="C47" s="121"/>
      <c r="D47" s="121"/>
      <c r="E47" s="121"/>
      <c r="F47" s="121"/>
      <c r="G47" s="121"/>
      <c r="H47" s="121"/>
      <c r="I47" s="121"/>
      <c r="J47" s="121"/>
      <c r="K47" s="121"/>
      <c r="L47" s="121"/>
      <c r="M47" s="121"/>
      <c r="N47" s="121"/>
      <c r="O47" s="121"/>
      <c r="P47" s="121"/>
      <c r="Q47" s="121"/>
      <c r="R47" s="121"/>
      <c r="S47" s="121"/>
      <c r="T47" s="121"/>
      <c r="U47" s="121"/>
      <c r="V47" s="121"/>
      <c r="W47" s="121"/>
      <c r="X47" s="83"/>
      <c r="Y47" s="2"/>
      <c r="Z47" s="2"/>
    </row>
    <row r="48" spans="1:26" ht="15.75" customHeight="1">
      <c r="A48" s="83"/>
      <c r="B48" s="121" t="s">
        <v>59</v>
      </c>
      <c r="C48" s="121"/>
      <c r="D48" s="121"/>
      <c r="E48" s="121"/>
      <c r="F48" s="121"/>
      <c r="G48" s="121"/>
      <c r="H48" s="121"/>
      <c r="I48" s="121"/>
      <c r="J48" s="121"/>
      <c r="K48" s="121"/>
      <c r="L48" s="121"/>
      <c r="M48" s="121"/>
      <c r="N48" s="121"/>
      <c r="O48" s="121"/>
      <c r="P48" s="121"/>
      <c r="Q48" s="121"/>
      <c r="R48" s="121"/>
      <c r="S48" s="121"/>
      <c r="T48" s="121"/>
      <c r="U48" s="121"/>
      <c r="V48" s="121"/>
      <c r="W48" s="121"/>
      <c r="X48" s="83"/>
      <c r="Y48" s="2"/>
      <c r="Z48" s="2"/>
    </row>
    <row r="49" spans="1:26" ht="46.5" customHeight="1">
      <c r="A49" s="83"/>
      <c r="B49" s="122" t="s">
        <v>60</v>
      </c>
      <c r="C49" s="122"/>
      <c r="D49" s="122"/>
      <c r="E49" s="122"/>
      <c r="F49" s="122"/>
      <c r="G49" s="122"/>
      <c r="H49" s="122"/>
      <c r="I49" s="122"/>
      <c r="J49" s="122"/>
      <c r="K49" s="122"/>
      <c r="L49" s="122"/>
      <c r="M49" s="122"/>
      <c r="N49" s="122"/>
      <c r="O49" s="122"/>
      <c r="P49" s="122"/>
      <c r="Q49" s="122"/>
      <c r="R49" s="122"/>
      <c r="S49" s="122"/>
      <c r="T49" s="122"/>
      <c r="U49" s="122"/>
      <c r="V49" s="122"/>
      <c r="W49" s="122"/>
      <c r="X49" s="83"/>
      <c r="Y49" s="2"/>
      <c r="Z49" s="2"/>
    </row>
    <row r="50" spans="1:25" ht="17.25" customHeight="1">
      <c r="A50" s="83"/>
      <c r="B50" s="123" t="s">
        <v>55</v>
      </c>
      <c r="C50" s="123"/>
      <c r="D50" s="123"/>
      <c r="E50" s="123"/>
      <c r="F50" s="123"/>
      <c r="G50" s="123"/>
      <c r="H50" s="123"/>
      <c r="I50" s="123"/>
      <c r="J50" s="123"/>
      <c r="K50" s="123"/>
      <c r="L50" s="123"/>
      <c r="M50" s="123"/>
      <c r="N50" s="123"/>
      <c r="O50" s="123"/>
      <c r="P50" s="123"/>
      <c r="Q50" s="123"/>
      <c r="R50" s="123"/>
      <c r="S50" s="123"/>
      <c r="T50" s="86"/>
      <c r="U50" s="86"/>
      <c r="V50" s="86"/>
      <c r="W50" s="86"/>
      <c r="X50" s="83"/>
      <c r="Y50" s="2"/>
    </row>
    <row r="51" spans="1:25" ht="35.25" customHeight="1">
      <c r="A51" s="83"/>
      <c r="X51" s="83"/>
      <c r="Y51" s="2"/>
    </row>
    <row r="52" spans="14:25" ht="23.25" customHeight="1">
      <c r="N52" s="98"/>
      <c r="O52" s="98"/>
      <c r="P52" s="98"/>
      <c r="Q52" s="98"/>
      <c r="R52" s="3"/>
      <c r="S52" s="3"/>
      <c r="T52" s="3"/>
      <c r="U52" s="3"/>
      <c r="V52" s="3"/>
      <c r="W52" s="3"/>
      <c r="X52" s="3"/>
      <c r="Y52" s="2"/>
    </row>
    <row r="53" spans="25:26" ht="15">
      <c r="Y53" s="2"/>
      <c r="Z53" s="1"/>
    </row>
  </sheetData>
  <sheetProtection formatCells="0" formatColumns="0" formatRows="0" insertColumns="0" insertRows="0" deleteRows="0" pivotTables="0"/>
  <mergeCells count="9">
    <mergeCell ref="B47:W47"/>
    <mergeCell ref="B48:W48"/>
    <mergeCell ref="B49:W49"/>
    <mergeCell ref="B50:S50"/>
    <mergeCell ref="B1:R1"/>
    <mergeCell ref="B2:R2"/>
    <mergeCell ref="D3:F3"/>
    <mergeCell ref="T3:Z3"/>
    <mergeCell ref="B46:W46"/>
  </mergeCells>
  <printOptions horizontalCentered="1" verticalCentered="1"/>
  <pageMargins left="0.25" right="0.25" top="0.25" bottom="0.25" header="0.3" footer="0.3"/>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Larson, Michelle</dc:creator>
  <cp:keywords/>
  <dc:description/>
  <cp:lastModifiedBy>Record, Jim</cp:lastModifiedBy>
  <cp:lastPrinted>2019-03-18T22:35:24Z</cp:lastPrinted>
  <dcterms:created xsi:type="dcterms:W3CDTF">2018-02-20T19:34:04Z</dcterms:created>
  <dcterms:modified xsi:type="dcterms:W3CDTF">2019-03-28T15:56:44Z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