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65461" windowWidth="8655" windowHeight="5760" tabRatio="672" activeTab="3"/>
  </bookViews>
  <sheets>
    <sheet name="Plan in Millions" sheetId="1" r:id="rId1"/>
    <sheet name="Footnotes" sheetId="2" r:id="rId2"/>
    <sheet name="Detailed Plan" sheetId="3" r:id="rId3"/>
    <sheet name="for ordinance" sheetId="4" r:id="rId4"/>
  </sheets>
  <definedNames>
    <definedName name="_xlnm.Print_Area" localSheetId="2">'Detailed Plan'!$A$1:$I$134</definedName>
    <definedName name="_xlnm.Print_Area" localSheetId="3">'for ordinance'!$A$1:$H$132</definedName>
    <definedName name="_xlnm.Print_Titles" localSheetId="2">'Detailed Plan'!$1:$2</definedName>
    <definedName name="_xlnm.Print_Titles" localSheetId="1">'Footnotes'!$1:$2</definedName>
    <definedName name="_xlnm.Print_Titles" localSheetId="3">'for ordinance'!$1:$2</definedName>
  </definedNames>
  <calcPr fullCalcOnLoad="1"/>
</workbook>
</file>

<file path=xl/comments3.xml><?xml version="1.0" encoding="utf-8"?>
<comments xmlns="http://schemas.openxmlformats.org/spreadsheetml/2006/main">
  <authors>
    <author>davistri</author>
  </authors>
  <commentList>
    <comment ref="E62" authorId="0">
      <text>
        <r>
          <rPr>
            <b/>
            <sz val="8"/>
            <rFont val="Tahoma"/>
            <family val="0"/>
          </rPr>
          <t>davistri:</t>
        </r>
        <r>
          <rPr>
            <sz val="8"/>
            <rFont val="Tahoma"/>
            <family val="0"/>
          </rPr>
          <t xml:space="preserve">
Matches IWF FP 9/25/08
</t>
        </r>
      </text>
    </comment>
    <comment ref="E87" authorId="0">
      <text>
        <r>
          <rPr>
            <b/>
            <sz val="8"/>
            <rFont val="Tahoma"/>
            <family val="0"/>
          </rPr>
          <t>davistri:</t>
        </r>
        <r>
          <rPr>
            <sz val="8"/>
            <rFont val="Tahoma"/>
            <family val="0"/>
          </rPr>
          <t xml:space="preserve">
Need to compare with IWF FP</t>
        </r>
      </text>
    </comment>
    <comment ref="F87" authorId="0">
      <text>
        <r>
          <rPr>
            <b/>
            <sz val="8"/>
            <rFont val="Tahoma"/>
            <family val="0"/>
          </rPr>
          <t>davistri:</t>
        </r>
        <r>
          <rPr>
            <sz val="8"/>
            <rFont val="Tahoma"/>
            <family val="0"/>
          </rPr>
          <t xml:space="preserve">
Need to compare with IWF FP</t>
        </r>
      </text>
    </comment>
  </commentList>
</comments>
</file>

<file path=xl/comments4.xml><?xml version="1.0" encoding="utf-8"?>
<comments xmlns="http://schemas.openxmlformats.org/spreadsheetml/2006/main">
  <authors>
    <author>davistri</author>
  </authors>
  <commentList>
    <comment ref="E62" authorId="0">
      <text>
        <r>
          <rPr>
            <b/>
            <sz val="8"/>
            <rFont val="Tahoma"/>
            <family val="0"/>
          </rPr>
          <t>davistri:</t>
        </r>
        <r>
          <rPr>
            <sz val="8"/>
            <rFont val="Tahoma"/>
            <family val="0"/>
          </rPr>
          <t xml:space="preserve">
Matches IWF FP 9/25/08
</t>
        </r>
      </text>
    </comment>
    <comment ref="E87" authorId="0">
      <text>
        <r>
          <rPr>
            <b/>
            <sz val="8"/>
            <rFont val="Tahoma"/>
            <family val="0"/>
          </rPr>
          <t>davistri:</t>
        </r>
        <r>
          <rPr>
            <sz val="8"/>
            <rFont val="Tahoma"/>
            <family val="0"/>
          </rPr>
          <t xml:space="preserve">
Need to compare with IWF FP</t>
        </r>
      </text>
    </comment>
  </commentList>
</comments>
</file>

<file path=xl/sharedStrings.xml><?xml version="1.0" encoding="utf-8"?>
<sst xmlns="http://schemas.openxmlformats.org/spreadsheetml/2006/main" count="475" uniqueCount="320">
  <si>
    <t>In the Third Quarter Report, the Office of Management and Budget (OMB) identified $1.6 million of available</t>
  </si>
  <si>
    <t>funds in the outyear deficit reserve as a result of the cumulative effects of changes in the financial plan,</t>
  </si>
  <si>
    <t>including the use of Executive Contingency and Salary and Wage Contingency to support anticipated</t>
  </si>
  <si>
    <t xml:space="preserve">supplemental appropriation needs as noted above.  These actions along with adjustments to total supplemental </t>
  </si>
  <si>
    <t xml:space="preserve">appropriation needs, reduce the anticipated 2008 deficit from $6.4 million to $4.8 million, leaving $1.6 million </t>
  </si>
  <si>
    <t>of unallocated funds in the 2008 out-year deficit reserve.  As the report indicated, these funds are being used</t>
  </si>
  <si>
    <t>to close the shortfall that remains with the implementation of the labor furlough strategy.  Since the submission</t>
  </si>
  <si>
    <t>of the Third Quarter Report, OMB has identified an additional reduction to the anticipated deficit for 2008</t>
  </si>
  <si>
    <t>through a technical double count of an anticipated supplemental request.  This technical correction brings</t>
  </si>
  <si>
    <t>the anticipated 2008 deficit down another $1.4 million and makes this amount also available to balance</t>
  </si>
  <si>
    <t xml:space="preserve">the budget in light of the furlough strategy. </t>
  </si>
  <si>
    <t xml:space="preserve">   Risk Abatement</t>
  </si>
  <si>
    <t xml:space="preserve">   Elections</t>
  </si>
  <si>
    <t xml:space="preserve">   GG CIP</t>
  </si>
  <si>
    <t xml:space="preserve">   PSERS</t>
  </si>
  <si>
    <t xml:space="preserve">   LEOFF Medical</t>
  </si>
  <si>
    <t xml:space="preserve">   Pension</t>
  </si>
  <si>
    <t xml:space="preserve">  Technology Project Reserve</t>
  </si>
  <si>
    <t>BEGINNING FUND BALANCE</t>
  </si>
  <si>
    <t>REVENUES</t>
  </si>
  <si>
    <t xml:space="preserve">   Property Taxes</t>
  </si>
  <si>
    <t xml:space="preserve">   Debt Service</t>
  </si>
  <si>
    <t xml:space="preserve">   Sales Tax</t>
  </si>
  <si>
    <t xml:space="preserve">   CJ Fund Revenues</t>
  </si>
  <si>
    <t xml:space="preserve">   Interest Earnings</t>
  </si>
  <si>
    <t xml:space="preserve">   Other Revenues</t>
  </si>
  <si>
    <t xml:space="preserve">   Intergovernmental Receipts - Contracts</t>
  </si>
  <si>
    <t xml:space="preserve">   Interfund Receipts</t>
  </si>
  <si>
    <t xml:space="preserve">   Supplemental New Revenue (incl. Corrections)</t>
  </si>
  <si>
    <t>North Lot Sale</t>
  </si>
  <si>
    <t>CX REVENUE TOTAL</t>
  </si>
  <si>
    <t xml:space="preserve">  Inmate Welfare Fund</t>
  </si>
  <si>
    <t xml:space="preserve">  CFSA Revenues</t>
  </si>
  <si>
    <t xml:space="preserve">  Sales Tax Reserve</t>
  </si>
  <si>
    <t xml:space="preserve">   Removal of Double Count of CFSA Revenues</t>
  </si>
  <si>
    <t>GENERAL FUND REVENUE TOTAL</t>
  </si>
  <si>
    <t>EXPENDITURES</t>
  </si>
  <si>
    <t xml:space="preserve">    Essbase Expenditures</t>
  </si>
  <si>
    <t xml:space="preserve">   Removal of double budget of CFSA to CSD</t>
  </si>
  <si>
    <t xml:space="preserve">   Adjusted Essbase Expenditures</t>
  </si>
  <si>
    <t xml:space="preserve">   Operating Budget</t>
  </si>
  <si>
    <t xml:space="preserve">   CJ Fund Expenditures</t>
  </si>
  <si>
    <t xml:space="preserve">   Supplemental Carryover</t>
  </si>
  <si>
    <t xml:space="preserve">   Encumbrance Carryover</t>
  </si>
  <si>
    <t xml:space="preserve">   Salary and Wage Contingency</t>
  </si>
  <si>
    <t xml:space="preserve">       Unprogrammed</t>
  </si>
  <si>
    <t xml:space="preserve">       Adopted</t>
  </si>
  <si>
    <t xml:space="preserve">   Operating Supplementals-Exec. Contingency</t>
  </si>
  <si>
    <t xml:space="preserve">   Operating Supplementals - Revenue Backed</t>
  </si>
  <si>
    <t xml:space="preserve">   Operating Underexpenditures</t>
  </si>
  <si>
    <t xml:space="preserve">    CFS Expenditures</t>
  </si>
  <si>
    <t xml:space="preserve">    Inmate Welfare Fund</t>
  </si>
  <si>
    <t>GF EXPENDITURE TOTAL</t>
  </si>
  <si>
    <t>ENDING FUND BALANCE</t>
  </si>
  <si>
    <t>RESERVES AND DESIGNATIONS</t>
  </si>
  <si>
    <t xml:space="preserve">   CIP Carryover</t>
  </si>
  <si>
    <t xml:space="preserve">   Reappropriation</t>
  </si>
  <si>
    <t>Designations</t>
  </si>
  <si>
    <t xml:space="preserve">   Prepayment</t>
  </si>
  <si>
    <t xml:space="preserve">   Loans </t>
  </si>
  <si>
    <t xml:space="preserve">   Animal Control</t>
  </si>
  <si>
    <t xml:space="preserve">   Crime Victim Compensation Program</t>
  </si>
  <si>
    <t xml:space="preserve">   Drug Enforcement Program</t>
  </si>
  <si>
    <t xml:space="preserve">   Anti-Profiteering Program</t>
  </si>
  <si>
    <t xml:space="preserve">   Dispute Resolution</t>
  </si>
  <si>
    <t xml:space="preserve">   Sheriff Laptop Replacement</t>
  </si>
  <si>
    <t xml:space="preserve">   Real Property Title Insurance</t>
  </si>
  <si>
    <t xml:space="preserve">   Designated for Net Unrealized Gains</t>
  </si>
  <si>
    <t>Subfund Balances</t>
  </si>
  <si>
    <t xml:space="preserve">   Inmate Welfare Fund Balance</t>
  </si>
  <si>
    <t xml:space="preserve">   Sales Tax Fund Balance</t>
  </si>
  <si>
    <t xml:space="preserve">   CFS Fund Balance</t>
  </si>
  <si>
    <t xml:space="preserve">   Ex-CJ Fund Balance</t>
  </si>
  <si>
    <t>Existing Reserves</t>
  </si>
  <si>
    <t xml:space="preserve">   Salary &amp; Wage</t>
  </si>
  <si>
    <t xml:space="preserve">   Transition Fund</t>
  </si>
  <si>
    <t xml:space="preserve">   Andress</t>
  </si>
  <si>
    <t xml:space="preserve">   Legislative Reserve</t>
  </si>
  <si>
    <t xml:space="preserve">   KCSO FMP</t>
  </si>
  <si>
    <t xml:space="preserve">   Outyear Deficit Reduction Reserve</t>
  </si>
  <si>
    <t>2007 Adopted Budget Reserves</t>
  </si>
  <si>
    <t>Public Health</t>
  </si>
  <si>
    <t>CJ Reform/Sustainability/Jail Population</t>
  </si>
  <si>
    <t>Sheriff Blue Ribbon Panel</t>
  </si>
  <si>
    <t>Homelessness</t>
  </si>
  <si>
    <t>2008 Adopted Budget Reserves</t>
  </si>
  <si>
    <t>Sale of the North Lot:</t>
  </si>
  <si>
    <t>District Court Records Management System</t>
  </si>
  <si>
    <t>DJA Court Records Management System</t>
  </si>
  <si>
    <t>Sheriff Level of Service</t>
  </si>
  <si>
    <t>Sheriff - Blue Ribbon Panel - training</t>
  </si>
  <si>
    <t>Sheriff - Professional Standards Division</t>
  </si>
  <si>
    <t>Public Health - stabilization &amp; emergency</t>
  </si>
  <si>
    <t>TOTAL RESERVES AND DESIGNATIONS</t>
  </si>
  <si>
    <t>ENDING UNDESIGNATED FUND BALANCE</t>
  </si>
  <si>
    <t>Fund Balance as % of Revenues</t>
  </si>
  <si>
    <t>EXCESS OVER/UNDER 6% MINIMUM</t>
  </si>
  <si>
    <t>2010 Estimate</t>
  </si>
  <si>
    <t xml:space="preserve">   Interest Charge Against Potential Losses</t>
  </si>
  <si>
    <t xml:space="preserve">   Sales Tax Reserve Taxes</t>
  </si>
  <si>
    <t>2011 Estimate</t>
  </si>
  <si>
    <t xml:space="preserve">   Sales Tax Reserve FB Transfer</t>
  </si>
  <si>
    <t xml:space="preserve">   CFSA FB Transfer</t>
  </si>
  <si>
    <t xml:space="preserve">   CX Encumbrances</t>
  </si>
  <si>
    <t xml:space="preserve">   CFSA Encumbrances</t>
  </si>
  <si>
    <t xml:space="preserve">   Inmate Welfare Encumbrances</t>
  </si>
  <si>
    <t>Sheriff</t>
  </si>
  <si>
    <t xml:space="preserve">   Major Maintenance Reserve</t>
  </si>
  <si>
    <t xml:space="preserve">   CIP Capital Supplemental Reserve</t>
  </si>
  <si>
    <t>Adopted</t>
  </si>
  <si>
    <t>Property Tax</t>
  </si>
  <si>
    <t>Interest Earnings</t>
  </si>
  <si>
    <t>General Fund Revenues</t>
  </si>
  <si>
    <t>General Fund Expenditures</t>
  </si>
  <si>
    <t>Reserves</t>
  </si>
  <si>
    <t>6% Fund Balance Reserve</t>
  </si>
  <si>
    <t>Over/Under 6% Minimum</t>
  </si>
  <si>
    <t>Revenue Growth Rate</t>
  </si>
  <si>
    <t>Expenditure Growth Rate</t>
  </si>
  <si>
    <t>Actuals</t>
  </si>
  <si>
    <t xml:space="preserve">   Other Transactions</t>
  </si>
  <si>
    <t>Elections</t>
  </si>
  <si>
    <t xml:space="preserve">   CIP Budget (CX transfers)</t>
  </si>
  <si>
    <t xml:space="preserve">   Op Supp - From Fund Balance</t>
  </si>
  <si>
    <t>Expenditures - Not in Essbase</t>
  </si>
  <si>
    <t>2007 Actual</t>
  </si>
  <si>
    <t>CX FUND EXP SUBTOTAL</t>
  </si>
  <si>
    <t>2008 Adopted (Council)</t>
  </si>
  <si>
    <t>Reduction to balance</t>
  </si>
  <si>
    <t>2009 Proposed</t>
  </si>
  <si>
    <t>UGA Parks for Future Annexation</t>
  </si>
  <si>
    <t>Contra for Lifeboat</t>
  </si>
  <si>
    <t>Percentage increase in revenues</t>
  </si>
  <si>
    <t>Percentage increase in expenditures</t>
  </si>
  <si>
    <t>Reduction to General Fund Transfer to Public Health</t>
  </si>
  <si>
    <t>Reduction to General Fund Transfer to DCHS</t>
  </si>
  <si>
    <t>Reduction to General Fund Transfer for UGA Parks</t>
  </si>
  <si>
    <t>2008 Revised</t>
  </si>
  <si>
    <t>Footnotes</t>
  </si>
  <si>
    <t>(a)</t>
  </si>
  <si>
    <t>Financial Report (CAFR).</t>
  </si>
  <si>
    <t>(b)</t>
  </si>
  <si>
    <t>the expected annual percent change over the prior year, except for interest earnings, which is stated</t>
  </si>
  <si>
    <t>as the projected annual rate of return.</t>
  </si>
  <si>
    <t>Property Tax (net of debt service)</t>
  </si>
  <si>
    <t>Sales Tax</t>
  </si>
  <si>
    <t>All Other</t>
  </si>
  <si>
    <t>Individual Estimates</t>
  </si>
  <si>
    <t>(c)</t>
  </si>
  <si>
    <t>(in millions)</t>
  </si>
  <si>
    <t>Debt Service Elements</t>
  </si>
  <si>
    <t>Existing Debt Issues</t>
  </si>
  <si>
    <t>Total Debt Service</t>
  </si>
  <si>
    <t>(d)</t>
  </si>
  <si>
    <t>(e)</t>
  </si>
  <si>
    <t>The General Fund financial plan assumes an underexpenditure rate of 2.00% of total expenditures.  The</t>
  </si>
  <si>
    <t>(f)</t>
  </si>
  <si>
    <t>(g)</t>
  </si>
  <si>
    <t>(h)</t>
  </si>
  <si>
    <t>(i)</t>
  </si>
  <si>
    <t>Other Reserves include the following for each of the years (in millions):</t>
  </si>
  <si>
    <t>2010 Projected</t>
  </si>
  <si>
    <t>Prepayment</t>
  </si>
  <si>
    <t xml:space="preserve">Loans </t>
  </si>
  <si>
    <t>Animal Control</t>
  </si>
  <si>
    <t>Drug Enforcement Program</t>
  </si>
  <si>
    <t>Anti-Profiteering Program</t>
  </si>
  <si>
    <t>Dispute Resolution</t>
  </si>
  <si>
    <t>Sheriff Laptop Replacement</t>
  </si>
  <si>
    <t>Real Property Title Insurance</t>
  </si>
  <si>
    <t>Salary &amp; Wage</t>
  </si>
  <si>
    <t>Transition Fund</t>
  </si>
  <si>
    <t>Andress</t>
  </si>
  <si>
    <t>Legislative Reserve</t>
  </si>
  <si>
    <t>Risk Abatement</t>
  </si>
  <si>
    <t>LEOFF Medical</t>
  </si>
  <si>
    <t>Pension</t>
  </si>
  <si>
    <t>Technology Project Reserve</t>
  </si>
  <si>
    <t>KCSO FMP</t>
  </si>
  <si>
    <t>Total "Other" Reserves</t>
  </si>
  <si>
    <t>(j)</t>
  </si>
  <si>
    <t>Adopted Budget</t>
  </si>
  <si>
    <t>Supplemental Activity</t>
  </si>
  <si>
    <t>Total</t>
  </si>
  <si>
    <t>(k)</t>
  </si>
  <si>
    <t>Major Maintenance/Sales Tax Reserve</t>
  </si>
  <si>
    <t>General Government CIP</t>
  </si>
  <si>
    <t>OIRM CIP</t>
  </si>
  <si>
    <t>(l)</t>
  </si>
  <si>
    <t>2008 CIP/Other Contributions</t>
  </si>
  <si>
    <t>Public Transportation</t>
  </si>
  <si>
    <t>(m)</t>
  </si>
  <si>
    <t>Agencies exempt from 2.0% underexpenditure:</t>
  </si>
  <si>
    <t>Agencies partially exempt:</t>
  </si>
  <si>
    <t>Drug Enforcement Forfeits</t>
  </si>
  <si>
    <t>Antiprofiteering</t>
  </si>
  <si>
    <t>Prosecuting Attorney's Office</t>
  </si>
  <si>
    <t>State Auditor</t>
  </si>
  <si>
    <t>District Court</t>
  </si>
  <si>
    <t>Special Programs</t>
  </si>
  <si>
    <t>Salary &amp; Wage Contingency</t>
  </si>
  <si>
    <t>Dept. of Adult and Juvenile Detention</t>
  </si>
  <si>
    <t>Executive Contingency</t>
  </si>
  <si>
    <t>Public Defense</t>
  </si>
  <si>
    <t>Internal Support</t>
  </si>
  <si>
    <t>(n)</t>
  </si>
  <si>
    <t>Labor</t>
  </si>
  <si>
    <t>As Proposed</t>
  </si>
  <si>
    <t>Benefits</t>
  </si>
  <si>
    <t>Services/Other Charges</t>
  </si>
  <si>
    <t>All Others</t>
  </si>
  <si>
    <t xml:space="preserve">2009 Proposed General Fund Financial Plan </t>
  </si>
  <si>
    <t>Revenue estimates for 2007 - 2011 are based on the following assumptions.  The percentages indicate</t>
  </si>
  <si>
    <t>The debt service schedule for 2007 - 2011 is based on the following table:</t>
  </si>
  <si>
    <t>.5% is being held in the General Fund financial plan, for a total assumption of 2.0% underexpenditure</t>
  </si>
  <si>
    <t xml:space="preserve">General Fund financial plan.  A list of agencies exempt or partially exempt from the underexpenditure  </t>
  </si>
  <si>
    <t>Children and Family Services.</t>
  </si>
  <si>
    <t>2008 Adopted Reserves include:  Sale of the North Lot, District Court Records Management System, DJA</t>
  </si>
  <si>
    <t>Court Records Management System, Sheriff Level of Service, Sheriff Blue Ribbon Panel Training, Sheriff</t>
  </si>
  <si>
    <t>2008 Adopted</t>
  </si>
  <si>
    <t>2007 Actuals</t>
  </si>
  <si>
    <t>2011 Projected</t>
  </si>
  <si>
    <t>2008 Operating Expenditures</t>
  </si>
  <si>
    <t>2007 Carryovers</t>
  </si>
  <si>
    <t>2007 CIP Carryovers/corrections</t>
  </si>
  <si>
    <t>2009 CIP/Other Contributions</t>
  </si>
  <si>
    <t>Crime Victim Compensation Program</t>
  </si>
  <si>
    <t>GG CIP</t>
  </si>
  <si>
    <t>CIP Capital Supplemental Reserve</t>
  </si>
  <si>
    <t>Outyear Deficit Reduction Reserve</t>
  </si>
  <si>
    <t>The 2007 Actual column reflects actual amounts as reported in the 2007 Comprehensive Annual</t>
  </si>
  <si>
    <t>2008 Debt Issuance (ISP/Jail Health, Elections, Other)</t>
  </si>
  <si>
    <t xml:space="preserve">2010 Debt Reserve </t>
  </si>
  <si>
    <t>2009 Debt Issuance (Data Center, Other)</t>
  </si>
  <si>
    <t>Summary of 2009 Proposed General Fund Financial Plan</t>
  </si>
  <si>
    <t>Revised</t>
  </si>
  <si>
    <t>Proposed</t>
  </si>
  <si>
    <t>Projected</t>
  </si>
  <si>
    <t>Ending Fund Balance</t>
  </si>
  <si>
    <r>
      <t>Actuals</t>
    </r>
    <r>
      <rPr>
        <b/>
        <vertAlign val="superscript"/>
        <sz val="10"/>
        <rFont val="Arial"/>
        <family val="2"/>
      </rPr>
      <t xml:space="preserve"> (a)</t>
    </r>
  </si>
  <si>
    <r>
      <t xml:space="preserve">REVENUES </t>
    </r>
    <r>
      <rPr>
        <b/>
        <vertAlign val="superscript"/>
        <sz val="10"/>
        <rFont val="Arial"/>
        <family val="2"/>
      </rPr>
      <t>(b)</t>
    </r>
  </si>
  <si>
    <r>
      <t xml:space="preserve">Debt Service </t>
    </r>
    <r>
      <rPr>
        <vertAlign val="superscript"/>
        <sz val="10"/>
        <rFont val="Arial"/>
        <family val="2"/>
      </rPr>
      <t>(c)</t>
    </r>
  </si>
  <si>
    <r>
      <t xml:space="preserve">CJ Revenues </t>
    </r>
    <r>
      <rPr>
        <vertAlign val="superscript"/>
        <sz val="10"/>
        <rFont val="Arial"/>
        <family val="2"/>
      </rPr>
      <t>(d)</t>
    </r>
  </si>
  <si>
    <r>
      <t xml:space="preserve">Operating Expenditures </t>
    </r>
    <r>
      <rPr>
        <vertAlign val="superscript"/>
        <sz val="10"/>
        <rFont val="Arial"/>
        <family val="2"/>
      </rPr>
      <t>(i)(m)</t>
    </r>
  </si>
  <si>
    <r>
      <t xml:space="preserve">CJ Expenditures </t>
    </r>
    <r>
      <rPr>
        <vertAlign val="superscript"/>
        <sz val="10"/>
        <rFont val="Arial"/>
        <family val="2"/>
      </rPr>
      <t>(d)(m)</t>
    </r>
  </si>
  <si>
    <r>
      <t>Reduction for Six Months of Lifeboat Programs</t>
    </r>
    <r>
      <rPr>
        <vertAlign val="superscript"/>
        <sz val="10"/>
        <rFont val="Arial"/>
        <family val="2"/>
      </rPr>
      <t>(e)</t>
    </r>
  </si>
  <si>
    <r>
      <t>Operating Underexpenditures</t>
    </r>
    <r>
      <rPr>
        <vertAlign val="superscript"/>
        <sz val="10"/>
        <rFont val="Arial"/>
        <family val="2"/>
      </rPr>
      <t xml:space="preserve"> (l)</t>
    </r>
  </si>
  <si>
    <r>
      <t>Reductions to Balance</t>
    </r>
    <r>
      <rPr>
        <vertAlign val="superscript"/>
        <sz val="10"/>
        <rFont val="Arial"/>
        <family val="2"/>
      </rPr>
      <t xml:space="preserve"> (n)</t>
    </r>
  </si>
  <si>
    <r>
      <t>CAFR &amp; Subfund Reserves</t>
    </r>
    <r>
      <rPr>
        <vertAlign val="superscript"/>
        <sz val="10"/>
        <rFont val="Arial"/>
        <family val="2"/>
      </rPr>
      <t xml:space="preserve"> (f)</t>
    </r>
  </si>
  <si>
    <r>
      <t>2008 Adopted Budget Reserves</t>
    </r>
    <r>
      <rPr>
        <vertAlign val="superscript"/>
        <sz val="10"/>
        <rFont val="Arial"/>
        <family val="2"/>
      </rPr>
      <t xml:space="preserve"> (g)</t>
    </r>
  </si>
  <si>
    <t>In the 2005 Adopted Budget, the former Criminal Justice Fund was consolidated into the General</t>
  </si>
  <si>
    <t xml:space="preserve">Fund.  Those revenues and expenditures are shown separately in this financial plan.  </t>
  </si>
  <si>
    <t xml:space="preserve">The out-year forecasts for 2010 and 2011 assume, using the most conservative planning assumptions, </t>
  </si>
  <si>
    <t xml:space="preserve">that King County is not successful in gaining tools from the State Legislature to help solve its structural </t>
  </si>
  <si>
    <t xml:space="preserve">imbalance.  As a result, the $10.5 million in worth of programs in the lifeboat would be eliminated </t>
  </si>
  <si>
    <t>effective July 1, 2009.  For 2010 the savings would be annualized and inflated to $23.2 million.</t>
  </si>
  <si>
    <t>Other expenditures include Salary and Wage contingency, Executive Contingency, supplemental appropriations,</t>
  </si>
  <si>
    <t xml:space="preserve">Sales Tax Reserve, Children and Family Set-Aside, and Inmate Welfare expenditures. </t>
  </si>
  <si>
    <t>Ordinance 15961 established two separate tier 1 funds: the Rainy Day Reserve Fund and a fund for</t>
  </si>
  <si>
    <t>Professional Standards Division, and Public Health Stabilization and Emergency.</t>
  </si>
  <si>
    <t>Expenditure to bifurcate CFSA and Rainy Day Fund</t>
  </si>
  <si>
    <t xml:space="preserve">2009 Proposed Budget includes a 1.5% underexpenditure contra in GF operating and GF transfer </t>
  </si>
  <si>
    <t xml:space="preserve">budgets.  This will be directly budgeted for in assumed underexpenditure levels.  A remaining central contra of </t>
  </si>
  <si>
    <t xml:space="preserve">in many operating and GF transfer budgets.  This is a modification on the practice observed in prior budgets.  </t>
  </si>
  <si>
    <t xml:space="preserve">In previous years the 2.0% was broken out into 1.25% in GF operating and GF transfer budgets and .75% in the </t>
  </si>
  <si>
    <t>requirement is provided below:</t>
  </si>
  <si>
    <t>GF Transfers</t>
  </si>
  <si>
    <t>Finance - GF</t>
  </si>
  <si>
    <t>Expenditure estimates for 2010 - 2011 are based on the following assumptions.  The percentages indicate the</t>
  </si>
  <si>
    <t>expected annual percentage change over the previous year. The assumed flex rate percentage increase reflects</t>
  </si>
  <si>
    <t>actuarial projections based on current plan design.  Negotiations with the Joint Labor Management Insurance</t>
  </si>
  <si>
    <t>Committee are ongoing.</t>
  </si>
  <si>
    <t xml:space="preserve">Using conservative planning assumptions, the total reductions required to balance are based on an assumption </t>
  </si>
  <si>
    <t>that the State Legislature fails to provide King County with the tools required to solve the structural deficit.  The</t>
  </si>
  <si>
    <t xml:space="preserve"> "reductions to balance" amount includes reductions to the General Fund transfers that support</t>
  </si>
  <si>
    <t xml:space="preserve">Public Health and DCHS.  If the State Legislature does not provide King County with the tools to solve its structural </t>
  </si>
  <si>
    <t xml:space="preserve">deficit, General Fund support to Public Health and DCHS would be eliminated by the end of 2011 -- with half of the </t>
  </si>
  <si>
    <t xml:space="preserve">remaining transfer gone in 2010 and the other half gone after 2011.  The reductions to Public Health and DCHS </t>
  </si>
  <si>
    <t xml:space="preserve">represent the difference between the planned transfer and the amount that the transfer would be if it were inflated </t>
  </si>
  <si>
    <t>from the 2009 proposed transfer amount. The remaining reductions required to balance would come from other</t>
  </si>
  <si>
    <t xml:space="preserve">General Fund programs.  These reductions also assume  that all of the programs in the lifeboat  would be </t>
  </si>
  <si>
    <t>eliminated.  These reductions are as follows:</t>
  </si>
  <si>
    <t>Remaining reductions to balance</t>
  </si>
  <si>
    <t>Removal of COLA / Merit / Executive Labor Strategy</t>
  </si>
  <si>
    <t>Furlough Strategy</t>
  </si>
  <si>
    <t>Change in COLA from 5.5% to 4.88%</t>
  </si>
  <si>
    <t>(o)</t>
  </si>
  <si>
    <t>rate from 5.5% to 4.88%.</t>
  </si>
  <si>
    <r>
      <t xml:space="preserve">Changes to the Executive Labor Strategy </t>
    </r>
    <r>
      <rPr>
        <vertAlign val="superscript"/>
        <sz val="10"/>
        <rFont val="Arial"/>
        <family val="2"/>
      </rPr>
      <t>(o)</t>
    </r>
  </si>
  <si>
    <t>(p)</t>
  </si>
  <si>
    <t>an additional impact on the 2009 expenditures of $.1 due to the ongoing impacts from supplementals.</t>
  </si>
  <si>
    <t>(q)</t>
  </si>
  <si>
    <r>
      <t>CIP Expenditures</t>
    </r>
    <r>
      <rPr>
        <vertAlign val="superscript"/>
        <sz val="10"/>
        <rFont val="Arial"/>
        <family val="2"/>
      </rPr>
      <t xml:space="preserve"> (j)(k)(m)(p)</t>
    </r>
  </si>
  <si>
    <r>
      <t>Other Expenditures</t>
    </r>
    <r>
      <rPr>
        <vertAlign val="superscript"/>
        <sz val="10"/>
        <rFont val="Arial"/>
        <family val="2"/>
      </rPr>
      <t>(f)(p)</t>
    </r>
  </si>
  <si>
    <r>
      <t xml:space="preserve">Other Revenues </t>
    </r>
    <r>
      <rPr>
        <vertAlign val="superscript"/>
        <sz val="10"/>
        <rFont val="Arial"/>
        <family val="2"/>
      </rPr>
      <t>(p)</t>
    </r>
  </si>
  <si>
    <r>
      <t>Other Reserves</t>
    </r>
    <r>
      <rPr>
        <vertAlign val="superscript"/>
        <sz val="10"/>
        <rFont val="Arial"/>
        <family val="2"/>
      </rPr>
      <t xml:space="preserve"> (h)(q)</t>
    </r>
  </si>
  <si>
    <t>Elimination of original labor contras</t>
  </si>
  <si>
    <t>Savings from furlough strategy</t>
  </si>
  <si>
    <t>Impact of reduction of COLA rate from 5.5% to 4.88%</t>
  </si>
  <si>
    <t>increase in revenues from revenue-backed supplementals of $.1 million and a decrease in expenditures of</t>
  </si>
  <si>
    <t>$3.0 million.  The net impact on the 2009 beginning fund balance is an increase of $3.1 million.  There is</t>
  </si>
  <si>
    <t>addition of the savings from the Executive's furlough strategy; and the savings from the reduction of the COLA</t>
  </si>
  <si>
    <t>represented County employees; the removal of the related savings for represented county employees; the</t>
  </si>
  <si>
    <t>Changes to the Executive Labor Strategy include the restoration of full COLA and Merit increases to non-</t>
  </si>
  <si>
    <t xml:space="preserve">The 2008 Revised numbers have been adjusted to reflect 2008 pending supplementals as discussed in the </t>
  </si>
  <si>
    <t xml:space="preserve">Third Quarter Report.  Adjustments in the total estimated expenditure for supplementals in addition to the use  </t>
  </si>
  <si>
    <t xml:space="preserve">balance necessary to support these supplementals.  This change in supplemental estimates results in an </t>
  </si>
  <si>
    <t>of the Salary and Wage and Executive Contingencies for supplementals has reduced the amount of fund</t>
  </si>
  <si>
    <t>MKCC 2009</t>
  </si>
  <si>
    <t>difference</t>
  </si>
  <si>
    <t xml:space="preserve">     Designated-$250,000 human srvs. Cap. campaign</t>
  </si>
  <si>
    <t>2009 Adopted Budget Reserves</t>
  </si>
  <si>
    <t>Public Defense reserve</t>
  </si>
  <si>
    <t>Mitigation reserve</t>
  </si>
  <si>
    <t>Exec 2009 Adjusted</t>
  </si>
  <si>
    <t>2009 GENERAL FUND FINANCIAL PLAN - Council, incorporating furlough strategy</t>
  </si>
  <si>
    <t>Annexation Reserve</t>
  </si>
  <si>
    <t>Council  2009</t>
  </si>
  <si>
    <t>Note:  Outyear estimates are provided by the Office of Management and Budget</t>
  </si>
  <si>
    <t>2009 GENERAL FUND FINANCIAL PLAN, dated 11-20-08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</si>
</sst>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"/>
    <numFmt numFmtId="166" formatCode="_(* #,##0_);_(* \(#,##0\);_(* &quot;-&quot;??_);_(@_)"/>
    <numFmt numFmtId="167" formatCode="0.0,,;\(0.0,,\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00_);_(* \(#,##0.000\);_(* &quot;-&quot;??_);_(@_)"/>
    <numFmt numFmtId="173" formatCode="0.000%"/>
    <numFmt numFmtId="174" formatCode="&quot;$&quot;#,##0"/>
    <numFmt numFmtId="175" formatCode="#,##0.0000000_);[Red]\(#,##0.0000000\)"/>
    <numFmt numFmtId="176" formatCode="_(* #,##0.000_);_(* \(#,##0.000\);_(* &quot;-&quot;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_);_(* \(#,##0.0000\);_(* &quot;-&quot;????_);_(@_)"/>
    <numFmt numFmtId="182" formatCode="#,##0.0000_);[Red]\(#,##0.0000\)"/>
    <numFmt numFmtId="183" formatCode="#,##0.0"/>
    <numFmt numFmtId="184" formatCode="0.0000"/>
    <numFmt numFmtId="185" formatCode="#,##0;#,##0\-"/>
    <numFmt numFmtId="186" formatCode="#,##0.00;#,##0.00\-"/>
    <numFmt numFmtId="187" formatCode="0.00_);\(0.00\)"/>
    <numFmt numFmtId="188" formatCode="m/d/yyyy;@"/>
    <numFmt numFmtId="189" formatCode="#,##0.000_);[Red]\(#,##0.000\)"/>
    <numFmt numFmtId="190" formatCode="0_);[Red]\(0\)"/>
    <numFmt numFmtId="191" formatCode="0.000"/>
    <numFmt numFmtId="192" formatCode="0.0_);[Red]\(0.0\)"/>
    <numFmt numFmtId="193" formatCode="0.000_);[Red]\(0.000\)"/>
    <numFmt numFmtId="194" formatCode="#,##0.0_);[Red]\(#,##0.0\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MT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6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2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38" fontId="2" fillId="0" borderId="1" xfId="21" applyNumberFormat="1" applyFont="1" applyFill="1" applyBorder="1" applyAlignment="1">
      <alignment horizontal="left"/>
      <protection/>
    </xf>
    <xf numFmtId="38" fontId="4" fillId="0" borderId="2" xfId="21" applyNumberFormat="1" applyFont="1" applyFill="1" applyBorder="1" applyAlignment="1">
      <alignment horizontal="left"/>
      <protection/>
    </xf>
    <xf numFmtId="38" fontId="0" fillId="0" borderId="0" xfId="21" applyNumberFormat="1" applyFont="1" applyFill="1" applyBorder="1" applyAlignment="1">
      <alignment horizontal="left"/>
      <protection/>
    </xf>
    <xf numFmtId="38" fontId="0" fillId="0" borderId="0" xfId="21" applyNumberFormat="1" applyFont="1" applyFill="1" applyBorder="1" applyAlignment="1" applyProtection="1">
      <alignment horizontal="left"/>
      <protection/>
    </xf>
    <xf numFmtId="38" fontId="0" fillId="0" borderId="0" xfId="21" applyNumberFormat="1" applyFont="1" applyFill="1" applyBorder="1" applyAlignment="1" quotePrefix="1">
      <alignment horizontal="left"/>
      <protection/>
    </xf>
    <xf numFmtId="38" fontId="2" fillId="0" borderId="3" xfId="21" applyNumberFormat="1" applyFont="1" applyFill="1" applyBorder="1" applyAlignment="1">
      <alignment horizontal="left"/>
      <protection/>
    </xf>
    <xf numFmtId="38" fontId="2" fillId="0" borderId="0" xfId="21" applyNumberFormat="1" applyFont="1" applyFill="1" applyBorder="1" applyAlignment="1">
      <alignment horizontal="left"/>
      <protection/>
    </xf>
    <xf numFmtId="38" fontId="2" fillId="0" borderId="1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2" fillId="0" borderId="0" xfId="21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8" fontId="2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2" fillId="0" borderId="3" xfId="0" applyNumberFormat="1" applyFont="1" applyBorder="1" applyAlignment="1">
      <alignment horizontal="center" wrapText="1"/>
    </xf>
    <xf numFmtId="38" fontId="2" fillId="0" borderId="4" xfId="0" applyNumberFormat="1" applyFont="1" applyFill="1" applyBorder="1" applyAlignment="1">
      <alignment horizontal="center" wrapText="1"/>
    </xf>
    <xf numFmtId="38" fontId="2" fillId="0" borderId="3" xfId="0" applyNumberFormat="1" applyFont="1" applyFill="1" applyBorder="1" applyAlignment="1">
      <alignment horizontal="center" wrapText="1"/>
    </xf>
    <xf numFmtId="38" fontId="2" fillId="0" borderId="5" xfId="0" applyNumberFormat="1" applyFont="1" applyFill="1" applyBorder="1" applyAlignment="1">
      <alignment horizontal="center" wrapText="1"/>
    </xf>
    <xf numFmtId="38" fontId="2" fillId="0" borderId="1" xfId="15" applyNumberFormat="1" applyFont="1" applyFill="1" applyBorder="1" applyAlignment="1">
      <alignment horizontal="right"/>
    </xf>
    <xf numFmtId="38" fontId="2" fillId="0" borderId="6" xfId="15" applyNumberFormat="1" applyFont="1" applyFill="1" applyBorder="1" applyAlignment="1">
      <alignment horizontal="right"/>
    </xf>
    <xf numFmtId="38" fontId="2" fillId="0" borderId="7" xfId="15" applyNumberFormat="1" applyFont="1" applyFill="1" applyBorder="1" applyAlignment="1">
      <alignment horizontal="right"/>
    </xf>
    <xf numFmtId="38" fontId="0" fillId="0" borderId="1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 horizontal="right"/>
    </xf>
    <xf numFmtId="38" fontId="0" fillId="0" borderId="8" xfId="15" applyNumberFormat="1" applyFont="1" applyFill="1" applyBorder="1" applyAlignment="1">
      <alignment horizontal="right"/>
    </xf>
    <xf numFmtId="38" fontId="0" fillId="0" borderId="9" xfId="15" applyNumberFormat="1" applyFont="1" applyFill="1" applyBorder="1" applyAlignment="1">
      <alignment horizontal="right"/>
    </xf>
    <xf numFmtId="38" fontId="0" fillId="0" borderId="6" xfId="15" applyNumberFormat="1" applyFont="1" applyFill="1" applyBorder="1" applyAlignment="1">
      <alignment horizontal="right"/>
    </xf>
    <xf numFmtId="38" fontId="0" fillId="0" borderId="7" xfId="15" applyNumberFormat="1" applyFont="1" applyFill="1" applyBorder="1" applyAlignment="1">
      <alignment horizontal="right"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9" xfId="21" applyNumberFormat="1" applyFont="1" applyFill="1" applyBorder="1" applyAlignment="1">
      <alignment horizontal="right"/>
      <protection/>
    </xf>
    <xf numFmtId="38" fontId="2" fillId="0" borderId="1" xfId="22" applyNumberFormat="1" applyFont="1" applyFill="1" applyBorder="1">
      <alignment/>
      <protection/>
    </xf>
    <xf numFmtId="38" fontId="2" fillId="0" borderId="6" xfId="22" applyNumberFormat="1" applyFont="1" applyFill="1" applyBorder="1">
      <alignment/>
      <protection/>
    </xf>
    <xf numFmtId="38" fontId="0" fillId="0" borderId="8" xfId="21" applyNumberFormat="1" applyFont="1" applyFill="1" applyBorder="1" applyAlignment="1">
      <alignment horizontal="right"/>
      <protection/>
    </xf>
    <xf numFmtId="38" fontId="0" fillId="0" borderId="8" xfId="21" applyNumberFormat="1" applyFont="1" applyFill="1" applyBorder="1">
      <alignment/>
      <protection/>
    </xf>
    <xf numFmtId="38" fontId="0" fillId="0" borderId="0" xfId="21" applyNumberFormat="1" applyFont="1" applyFill="1" applyBorder="1">
      <alignment/>
      <protection/>
    </xf>
    <xf numFmtId="38" fontId="0" fillId="0" borderId="9" xfId="21" applyNumberFormat="1" applyFont="1" applyFill="1" applyBorder="1">
      <alignment/>
      <protection/>
    </xf>
    <xf numFmtId="38" fontId="0" fillId="0" borderId="8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15" applyNumberFormat="1" applyFont="1" applyFill="1" applyBorder="1" applyAlignment="1">
      <alignment horizontal="right"/>
    </xf>
    <xf numFmtId="38" fontId="0" fillId="0" borderId="0" xfId="22" applyNumberFormat="1" applyFont="1" applyFill="1" applyBorder="1">
      <alignment/>
      <protection/>
    </xf>
    <xf numFmtId="38" fontId="0" fillId="0" borderId="8" xfId="22" applyNumberFormat="1" applyFont="1" applyFill="1" applyBorder="1">
      <alignment/>
      <protection/>
    </xf>
    <xf numFmtId="38" fontId="0" fillId="0" borderId="9" xfId="22" applyNumberFormat="1" applyFont="1" applyFill="1" applyBorder="1">
      <alignment/>
      <protection/>
    </xf>
    <xf numFmtId="38" fontId="0" fillId="0" borderId="0" xfId="15" applyNumberFormat="1" applyFont="1" applyFill="1" applyBorder="1" applyAlignment="1">
      <alignment/>
    </xf>
    <xf numFmtId="38" fontId="0" fillId="0" borderId="8" xfId="15" applyNumberFormat="1" applyFont="1" applyFill="1" applyBorder="1" applyAlignment="1">
      <alignment/>
    </xf>
    <xf numFmtId="38" fontId="0" fillId="0" borderId="9" xfId="15" applyNumberFormat="1" applyFont="1" applyFill="1" applyBorder="1" applyAlignment="1">
      <alignment/>
    </xf>
    <xf numFmtId="38" fontId="2" fillId="2" borderId="9" xfId="21" applyNumberFormat="1" applyFont="1" applyFill="1" applyBorder="1">
      <alignment/>
      <protection/>
    </xf>
    <xf numFmtId="38" fontId="2" fillId="2" borderId="0" xfId="21" applyNumberFormat="1" applyFont="1" applyFill="1" applyBorder="1">
      <alignment/>
      <protection/>
    </xf>
    <xf numFmtId="38" fontId="2" fillId="0" borderId="0" xfId="22" applyNumberFormat="1" applyFont="1" applyFill="1" applyBorder="1">
      <alignment/>
      <protection/>
    </xf>
    <xf numFmtId="38" fontId="2" fillId="0" borderId="8" xfId="22" applyNumberFormat="1" applyFont="1" applyFill="1" applyBorder="1">
      <alignment/>
      <protection/>
    </xf>
    <xf numFmtId="38" fontId="2" fillId="0" borderId="9" xfId="22" applyNumberFormat="1" applyFont="1" applyFill="1" applyBorder="1">
      <alignment/>
      <protection/>
    </xf>
    <xf numFmtId="38" fontId="2" fillId="0" borderId="6" xfId="0" applyNumberFormat="1" applyFont="1" applyFill="1" applyBorder="1" applyAlignment="1">
      <alignment/>
    </xf>
    <xf numFmtId="38" fontId="0" fillId="0" borderId="8" xfId="21" applyNumberFormat="1" applyFont="1" applyFill="1" applyBorder="1" applyAlignment="1" quotePrefix="1">
      <alignment horizontal="right"/>
      <protection/>
    </xf>
    <xf numFmtId="38" fontId="0" fillId="0" borderId="9" xfId="21" applyNumberFormat="1" applyFont="1" applyFill="1" applyBorder="1" applyAlignment="1" quotePrefix="1">
      <alignment horizontal="right"/>
      <protection/>
    </xf>
    <xf numFmtId="38" fontId="2" fillId="0" borderId="0" xfId="21" applyNumberFormat="1" applyFont="1" applyFill="1" applyAlignment="1">
      <alignment horizontal="center"/>
      <protection/>
    </xf>
    <xf numFmtId="37" fontId="7" fillId="0" borderId="0" xfId="22" applyNumberFormat="1" applyFont="1" applyFill="1" applyBorder="1">
      <alignment/>
      <protection/>
    </xf>
    <xf numFmtId="38" fontId="0" fillId="0" borderId="0" xfId="22" applyNumberFormat="1" applyFont="1" applyFill="1">
      <alignment/>
      <protection/>
    </xf>
    <xf numFmtId="37" fontId="7" fillId="0" borderId="8" xfId="22" applyNumberFormat="1" applyFont="1" applyFill="1" applyBorder="1">
      <alignment/>
      <protection/>
    </xf>
    <xf numFmtId="37" fontId="7" fillId="0" borderId="9" xfId="22" applyNumberFormat="1" applyFont="1" applyFill="1" applyBorder="1">
      <alignment/>
      <protection/>
    </xf>
    <xf numFmtId="10" fontId="2" fillId="0" borderId="1" xfId="0" applyNumberFormat="1" applyFont="1" applyBorder="1" applyAlignment="1">
      <alignment/>
    </xf>
    <xf numFmtId="10" fontId="2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Fill="1" applyBorder="1" applyAlignment="1">
      <alignment/>
    </xf>
    <xf numFmtId="38" fontId="2" fillId="0" borderId="10" xfId="21" applyNumberFormat="1" applyFont="1" applyFill="1" applyBorder="1" applyAlignment="1">
      <alignment horizontal="left"/>
      <protection/>
    </xf>
    <xf numFmtId="38" fontId="2" fillId="0" borderId="10" xfId="15" applyNumberFormat="1" applyFont="1" applyFill="1" applyBorder="1" applyAlignment="1">
      <alignment horizontal="right"/>
    </xf>
    <xf numFmtId="38" fontId="2" fillId="0" borderId="11" xfId="15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8" xfId="15" applyNumberFormat="1" applyFont="1" applyFill="1" applyBorder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21" applyNumberFormat="1" applyFont="1" applyFill="1" applyBorder="1" applyAlignment="1">
      <alignment horizontal="left" indent="1"/>
      <protection/>
    </xf>
    <xf numFmtId="0" fontId="0" fillId="0" borderId="0" xfId="0" applyFont="1" applyBorder="1" applyAlignment="1">
      <alignment/>
    </xf>
    <xf numFmtId="38" fontId="0" fillId="0" borderId="3" xfId="21" applyNumberFormat="1" applyFont="1" applyFill="1" applyBorder="1" applyAlignment="1">
      <alignment horizontal="left"/>
      <protection/>
    </xf>
    <xf numFmtId="38" fontId="0" fillId="0" borderId="4" xfId="15" applyNumberFormat="1" applyFont="1" applyFill="1" applyBorder="1" applyAlignment="1">
      <alignment horizontal="right"/>
    </xf>
    <xf numFmtId="38" fontId="0" fillId="0" borderId="5" xfId="15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left"/>
    </xf>
    <xf numFmtId="167" fontId="0" fillId="0" borderId="0" xfId="15" applyNumberFormat="1" applyFont="1" applyFill="1" applyAlignment="1">
      <alignment/>
    </xf>
    <xf numFmtId="0" fontId="0" fillId="0" borderId="0" xfId="15" applyNumberFormat="1" applyFont="1" applyFill="1" applyAlignment="1">
      <alignment/>
    </xf>
    <xf numFmtId="167" fontId="2" fillId="0" borderId="1" xfId="15" applyNumberFormat="1" applyFont="1" applyFill="1" applyBorder="1" applyAlignment="1">
      <alignment/>
    </xf>
    <xf numFmtId="38" fontId="2" fillId="0" borderId="0" xfId="21" applyNumberFormat="1" applyFont="1" applyFill="1" applyBorder="1" applyAlignment="1">
      <alignment horizontal="left" indent="1"/>
      <protection/>
    </xf>
    <xf numFmtId="38" fontId="2" fillId="2" borderId="0" xfId="21" applyNumberFormat="1" applyFont="1" applyFill="1" applyBorder="1" applyAlignment="1">
      <alignment horizontal="left" indent="1"/>
      <protection/>
    </xf>
    <xf numFmtId="38" fontId="2" fillId="2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0" xfId="22" applyNumberFormat="1" applyFont="1" applyFill="1" applyBorder="1">
      <alignment/>
      <protection/>
    </xf>
    <xf numFmtId="10" fontId="2" fillId="0" borderId="0" xfId="23" applyNumberFormat="1" applyFont="1" applyFill="1" applyBorder="1" applyAlignment="1">
      <alignment/>
    </xf>
    <xf numFmtId="38" fontId="0" fillId="0" borderId="9" xfId="15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38" fontId="0" fillId="0" borderId="0" xfId="21" applyNumberFormat="1" applyFont="1" applyFill="1" applyBorder="1" applyAlignment="1">
      <alignment horizontal="right"/>
      <protection/>
    </xf>
    <xf numFmtId="38" fontId="2" fillId="2" borderId="8" xfId="21" applyNumberFormat="1" applyFont="1" applyFill="1" applyBorder="1">
      <alignment/>
      <protection/>
    </xf>
    <xf numFmtId="38" fontId="2" fillId="2" borderId="8" xfId="21" applyNumberFormat="1" applyFont="1" applyFill="1" applyBorder="1" applyAlignment="1">
      <alignment horizontal="right"/>
      <protection/>
    </xf>
    <xf numFmtId="3" fontId="2" fillId="2" borderId="0" xfId="0" applyNumberFormat="1" applyFont="1" applyFill="1" applyBorder="1" applyAlignment="1">
      <alignment/>
    </xf>
    <xf numFmtId="38" fontId="2" fillId="2" borderId="9" xfId="21" applyNumberFormat="1" applyFont="1" applyFill="1" applyBorder="1" applyAlignment="1">
      <alignment horizontal="right"/>
      <protection/>
    </xf>
    <xf numFmtId="38" fontId="2" fillId="2" borderId="0" xfId="22" applyNumberFormat="1" applyFont="1" applyFill="1" applyBorder="1">
      <alignment/>
      <protection/>
    </xf>
    <xf numFmtId="0" fontId="2" fillId="0" borderId="0" xfId="0" applyFont="1" applyBorder="1" applyAlignment="1">
      <alignment horizontal="center"/>
    </xf>
    <xf numFmtId="38" fontId="0" fillId="0" borderId="0" xfId="15" applyNumberFormat="1" applyFont="1" applyFill="1" applyBorder="1" applyAlignment="1">
      <alignment horizontal="right"/>
    </xf>
    <xf numFmtId="38" fontId="0" fillId="0" borderId="1" xfId="15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38" fontId="0" fillId="0" borderId="0" xfId="21" applyNumberFormat="1" applyFont="1" applyFill="1">
      <alignment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3" xfId="15" applyNumberFormat="1" applyFont="1" applyFill="1" applyBorder="1" applyAlignment="1">
      <alignment horizontal="right"/>
    </xf>
    <xf numFmtId="38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8" fontId="0" fillId="0" borderId="0" xfId="22" applyNumberFormat="1" applyFont="1" applyFill="1" applyBorder="1">
      <alignment/>
      <protection/>
    </xf>
    <xf numFmtId="38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2" fillId="0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10" xfId="15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8" fontId="15" fillId="0" borderId="3" xfId="0" applyNumberFormat="1" applyFont="1" applyBorder="1" applyAlignment="1">
      <alignment horizontal="center" wrapText="1"/>
    </xf>
    <xf numFmtId="38" fontId="15" fillId="0" borderId="3" xfId="0" applyNumberFormat="1" applyFont="1" applyFill="1" applyBorder="1" applyAlignment="1">
      <alignment horizontal="center" wrapText="1"/>
    </xf>
    <xf numFmtId="38" fontId="5" fillId="0" borderId="0" xfId="21" applyNumberFormat="1" applyFont="1" applyFill="1" applyBorder="1" applyAlignment="1">
      <alignment horizontal="left"/>
      <protection/>
    </xf>
    <xf numFmtId="38" fontId="5" fillId="0" borderId="0" xfId="21" applyNumberFormat="1" applyFont="1" applyFill="1">
      <alignment/>
      <protection/>
    </xf>
    <xf numFmtId="0" fontId="0" fillId="0" borderId="0" xfId="0" applyFont="1" applyAlignment="1">
      <alignment horizontal="left" indent="1"/>
    </xf>
    <xf numFmtId="193" fontId="5" fillId="0" borderId="0" xfId="0" applyNumberFormat="1" applyFont="1" applyBorder="1" applyAlignment="1">
      <alignment horizontal="right" wrapText="1"/>
    </xf>
    <xf numFmtId="193" fontId="5" fillId="0" borderId="0" xfId="0" applyNumberFormat="1" applyFont="1" applyFill="1" applyAlignment="1">
      <alignment horizontal="right"/>
    </xf>
    <xf numFmtId="193" fontId="5" fillId="0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wrapText="1"/>
    </xf>
    <xf numFmtId="4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/>
    </xf>
    <xf numFmtId="0" fontId="15" fillId="0" borderId="3" xfId="0" applyFont="1" applyBorder="1" applyAlignment="1">
      <alignment horizontal="center"/>
    </xf>
    <xf numFmtId="192" fontId="5" fillId="0" borderId="0" xfId="0" applyNumberFormat="1" applyFont="1" applyAlignment="1">
      <alignment/>
    </xf>
    <xf numFmtId="0" fontId="15" fillId="0" borderId="3" xfId="0" applyFont="1" applyBorder="1" applyAlignment="1">
      <alignment horizontal="center" wrapText="1"/>
    </xf>
    <xf numFmtId="0" fontId="16" fillId="0" borderId="0" xfId="0" applyFont="1" applyAlignment="1">
      <alignment/>
    </xf>
    <xf numFmtId="38" fontId="5" fillId="0" borderId="0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38" fontId="5" fillId="0" borderId="3" xfId="0" applyNumberFormat="1" applyFont="1" applyFill="1" applyBorder="1" applyAlignment="1">
      <alignment/>
    </xf>
    <xf numFmtId="38" fontId="5" fillId="0" borderId="0" xfId="0" applyNumberFormat="1" applyFont="1" applyFill="1" applyAlignment="1" quotePrefix="1">
      <alignment/>
    </xf>
    <xf numFmtId="38" fontId="5" fillId="0" borderId="0" xfId="0" applyNumberFormat="1" applyFont="1" applyFill="1" applyAlignment="1">
      <alignment/>
    </xf>
    <xf numFmtId="38" fontId="5" fillId="0" borderId="3" xfId="0" applyNumberFormat="1" applyFont="1" applyFill="1" applyBorder="1" applyAlignment="1">
      <alignment/>
    </xf>
    <xf numFmtId="10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" xfId="15" applyNumberFormat="1" applyFont="1" applyFill="1" applyBorder="1" applyAlignment="1">
      <alignment/>
    </xf>
    <xf numFmtId="0" fontId="2" fillId="0" borderId="2" xfId="15" applyNumberFormat="1" applyFont="1" applyFill="1" applyBorder="1" applyAlignment="1">
      <alignment horizontal="right" vertical="center" wrapText="1"/>
    </xf>
    <xf numFmtId="0" fontId="0" fillId="0" borderId="3" xfId="15" applyNumberFormat="1" applyFont="1" applyFill="1" applyBorder="1" applyAlignment="1">
      <alignment vertical="center"/>
    </xf>
    <xf numFmtId="167" fontId="2" fillId="0" borderId="3" xfId="15" applyNumberFormat="1" applyFont="1" applyFill="1" applyBorder="1" applyAlignment="1">
      <alignment horizontal="right" vertical="center" wrapText="1"/>
    </xf>
    <xf numFmtId="0" fontId="2" fillId="0" borderId="1" xfId="15" applyNumberFormat="1" applyFont="1" applyFill="1" applyBorder="1" applyAlignment="1">
      <alignment/>
    </xf>
    <xf numFmtId="0" fontId="2" fillId="0" borderId="0" xfId="15" applyNumberFormat="1" applyFont="1" applyFill="1" applyAlignment="1">
      <alignment/>
    </xf>
    <xf numFmtId="0" fontId="0" fillId="0" borderId="0" xfId="15" applyNumberFormat="1" applyFont="1" applyFill="1" applyAlignment="1">
      <alignment horizontal="left" indent="1"/>
    </xf>
    <xf numFmtId="167" fontId="0" fillId="0" borderId="0" xfId="15" applyNumberFormat="1" applyFont="1" applyFill="1" applyBorder="1" applyAlignment="1">
      <alignment/>
    </xf>
    <xf numFmtId="167" fontId="2" fillId="0" borderId="1" xfId="15" applyNumberFormat="1" applyFont="1" applyFill="1" applyBorder="1" applyAlignment="1">
      <alignment/>
    </xf>
    <xf numFmtId="167" fontId="12" fillId="0" borderId="0" xfId="15" applyNumberFormat="1" applyFont="1" applyFill="1" applyAlignment="1">
      <alignment horizontal="right"/>
    </xf>
    <xf numFmtId="164" fontId="12" fillId="0" borderId="0" xfId="23" applyNumberFormat="1" applyFont="1" applyFill="1" applyAlignment="1">
      <alignment/>
    </xf>
    <xf numFmtId="0" fontId="2" fillId="0" borderId="0" xfId="15" applyNumberFormat="1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164" fontId="12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3" xfId="0" applyNumberFormat="1" applyFont="1" applyFill="1" applyBorder="1" applyAlignment="1">
      <alignment/>
    </xf>
    <xf numFmtId="194" fontId="5" fillId="0" borderId="0" xfId="0" applyNumberFormat="1" applyFont="1" applyAlignment="1">
      <alignment/>
    </xf>
    <xf numFmtId="1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38" fontId="0" fillId="0" borderId="0" xfId="21" applyNumberFormat="1" applyFont="1" applyFill="1" applyBorder="1" applyAlignment="1">
      <alignment horizontal="left"/>
      <protection/>
    </xf>
    <xf numFmtId="38" fontId="0" fillId="3" borderId="0" xfId="21" applyNumberFormat="1" applyFont="1" applyFill="1" applyBorder="1" applyAlignment="1">
      <alignment horizontal="left" indent="1"/>
      <protection/>
    </xf>
    <xf numFmtId="38" fontId="2" fillId="3" borderId="0" xfId="15" applyNumberFormat="1" applyFont="1" applyFill="1" applyBorder="1" applyAlignment="1">
      <alignment/>
    </xf>
    <xf numFmtId="38" fontId="2" fillId="3" borderId="8" xfId="15" applyNumberFormat="1" applyFont="1" applyFill="1" applyBorder="1" applyAlignment="1">
      <alignment/>
    </xf>
    <xf numFmtId="38" fontId="0" fillId="3" borderId="0" xfId="15" applyNumberFormat="1" applyFont="1" applyFill="1" applyBorder="1" applyAlignment="1">
      <alignment/>
    </xf>
    <xf numFmtId="38" fontId="0" fillId="3" borderId="0" xfId="15" applyNumberFormat="1" applyFont="1" applyFill="1" applyBorder="1" applyAlignment="1">
      <alignment/>
    </xf>
    <xf numFmtId="38" fontId="0" fillId="3" borderId="9" xfId="15" applyNumberFormat="1" applyFont="1" applyFill="1" applyBorder="1" applyAlignment="1">
      <alignment/>
    </xf>
    <xf numFmtId="0" fontId="0" fillId="3" borderId="0" xfId="0" applyFont="1" applyFill="1" applyAlignment="1">
      <alignment/>
    </xf>
    <xf numFmtId="38" fontId="0" fillId="3" borderId="0" xfId="21" applyNumberFormat="1" applyFont="1" applyFill="1" applyBorder="1" applyAlignment="1">
      <alignment horizontal="left" indent="1"/>
      <protection/>
    </xf>
    <xf numFmtId="38" fontId="0" fillId="3" borderId="0" xfId="21" applyNumberFormat="1" applyFont="1" applyFill="1" applyBorder="1" applyAlignment="1">
      <alignment horizontal="right"/>
      <protection/>
    </xf>
    <xf numFmtId="38" fontId="0" fillId="3" borderId="8" xfId="21" applyNumberFormat="1" applyFont="1" applyFill="1" applyBorder="1" applyAlignment="1">
      <alignment horizontal="right"/>
      <protection/>
    </xf>
    <xf numFmtId="38" fontId="0" fillId="3" borderId="0" xfId="21" applyNumberFormat="1" applyFont="1" applyFill="1" applyBorder="1" applyAlignment="1">
      <alignment horizontal="right"/>
      <protection/>
    </xf>
    <xf numFmtId="171" fontId="5" fillId="0" borderId="0" xfId="0" applyNumberFormat="1" applyFont="1" applyAlignment="1">
      <alignment/>
    </xf>
    <xf numFmtId="171" fontId="5" fillId="0" borderId="3" xfId="0" applyNumberFormat="1" applyFont="1" applyBorder="1" applyAlignment="1">
      <alignment/>
    </xf>
    <xf numFmtId="0" fontId="5" fillId="0" borderId="0" xfId="0" applyFont="1" applyAlignment="1">
      <alignment horizontal="left" indent="2"/>
    </xf>
    <xf numFmtId="0" fontId="1" fillId="4" borderId="0" xfId="0" applyFont="1" applyFill="1" applyBorder="1" applyAlignment="1">
      <alignment horizontal="center"/>
    </xf>
    <xf numFmtId="38" fontId="2" fillId="4" borderId="3" xfId="0" applyNumberFormat="1" applyFont="1" applyFill="1" applyBorder="1" applyAlignment="1">
      <alignment horizontal="center" wrapText="1"/>
    </xf>
    <xf numFmtId="38" fontId="2" fillId="4" borderId="1" xfId="15" applyNumberFormat="1" applyFont="1" applyFill="1" applyBorder="1" applyAlignment="1">
      <alignment horizontal="right"/>
    </xf>
    <xf numFmtId="38" fontId="0" fillId="4" borderId="0" xfId="15" applyNumberFormat="1" applyFont="1" applyFill="1" applyBorder="1" applyAlignment="1">
      <alignment horizontal="right"/>
    </xf>
    <xf numFmtId="38" fontId="0" fillId="4" borderId="1" xfId="15" applyNumberFormat="1" applyFont="1" applyFill="1" applyBorder="1" applyAlignment="1">
      <alignment horizontal="right"/>
    </xf>
    <xf numFmtId="38" fontId="2" fillId="4" borderId="1" xfId="22" applyNumberFormat="1" applyFont="1" applyFill="1" applyBorder="1">
      <alignment/>
      <protection/>
    </xf>
    <xf numFmtId="38" fontId="0" fillId="4" borderId="0" xfId="21" applyNumberFormat="1" applyFont="1" applyFill="1" applyBorder="1" applyAlignment="1">
      <alignment horizontal="right"/>
      <protection/>
    </xf>
    <xf numFmtId="38" fontId="0" fillId="4" borderId="0" xfId="0" applyNumberFormat="1" applyFont="1" applyFill="1" applyBorder="1" applyAlignment="1">
      <alignment/>
    </xf>
    <xf numFmtId="38" fontId="0" fillId="4" borderId="0" xfId="22" applyNumberFormat="1" applyFont="1" applyFill="1" applyBorder="1">
      <alignment/>
      <protection/>
    </xf>
    <xf numFmtId="38" fontId="0" fillId="4" borderId="0" xfId="15" applyNumberFormat="1" applyFont="1" applyFill="1" applyBorder="1" applyAlignment="1">
      <alignment/>
    </xf>
    <xf numFmtId="38" fontId="0" fillId="4" borderId="3" xfId="15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/>
    </xf>
    <xf numFmtId="38" fontId="2" fillId="4" borderId="0" xfId="22" applyNumberFormat="1" applyFont="1" applyFill="1" applyBorder="1">
      <alignment/>
      <protection/>
    </xf>
    <xf numFmtId="38" fontId="2" fillId="4" borderId="0" xfId="21" applyNumberFormat="1" applyFont="1" applyFill="1" applyBorder="1">
      <alignment/>
      <protection/>
    </xf>
    <xf numFmtId="38" fontId="2" fillId="4" borderId="1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0" fontId="2" fillId="4" borderId="1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38" fontId="2" fillId="4" borderId="10" xfId="15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15" applyNumberFormat="1" applyFont="1" applyFill="1" applyBorder="1" applyAlignment="1">
      <alignment horizontal="right"/>
    </xf>
    <xf numFmtId="38" fontId="0" fillId="0" borderId="1" xfId="15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38" fontId="0" fillId="0" borderId="0" xfId="21" applyNumberFormat="1" applyFont="1" applyFill="1" applyBorder="1" applyAlignment="1">
      <alignment horizontal="left"/>
      <protection/>
    </xf>
    <xf numFmtId="38" fontId="0" fillId="0" borderId="0" xfId="21" applyNumberFormat="1" applyFont="1" applyFill="1" applyBorder="1" applyAlignment="1" applyProtection="1">
      <alignment horizontal="left"/>
      <protection/>
    </xf>
    <xf numFmtId="38" fontId="0" fillId="0" borderId="0" xfId="21" applyNumberFormat="1" applyFont="1" applyFill="1" applyBorder="1" applyAlignment="1" quotePrefix="1">
      <alignment horizontal="left"/>
      <protection/>
    </xf>
    <xf numFmtId="38" fontId="0" fillId="0" borderId="0" xfId="21" applyNumberFormat="1" applyFont="1" applyFill="1" applyBorder="1" applyAlignment="1">
      <alignment horizontal="left" indent="1"/>
      <protection/>
    </xf>
    <xf numFmtId="38" fontId="0" fillId="0" borderId="0" xfId="21" applyNumberFormat="1" applyFont="1" applyFill="1" applyBorder="1">
      <alignment/>
      <protection/>
    </xf>
    <xf numFmtId="38" fontId="0" fillId="0" borderId="0" xfId="0" applyNumberFormat="1" applyFont="1" applyBorder="1" applyAlignment="1">
      <alignment/>
    </xf>
    <xf numFmtId="38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3" xfId="21" applyNumberFormat="1" applyFont="1" applyFill="1" applyBorder="1" applyAlignment="1">
      <alignment horizontal="left"/>
      <protection/>
    </xf>
    <xf numFmtId="38" fontId="0" fillId="0" borderId="3" xfId="15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21" applyNumberFormat="1" applyFont="1" applyFill="1">
      <alignment/>
      <protection/>
    </xf>
    <xf numFmtId="38" fontId="0" fillId="0" borderId="0" xfId="22" applyNumberFormat="1" applyFont="1" applyFill="1">
      <alignment/>
      <protection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38" fontId="2" fillId="0" borderId="13" xfId="0" applyNumberFormat="1" applyFont="1" applyFill="1" applyBorder="1" applyAlignment="1">
      <alignment horizontal="center" wrapText="1"/>
    </xf>
    <xf numFmtId="38" fontId="2" fillId="0" borderId="14" xfId="15" applyNumberFormat="1" applyFont="1" applyFill="1" applyBorder="1" applyAlignment="1">
      <alignment horizontal="right"/>
    </xf>
    <xf numFmtId="38" fontId="0" fillId="0" borderId="12" xfId="15" applyNumberFormat="1" applyFont="1" applyFill="1" applyBorder="1" applyAlignment="1">
      <alignment horizontal="right"/>
    </xf>
    <xf numFmtId="38" fontId="0" fillId="0" borderId="14" xfId="15" applyNumberFormat="1" applyFont="1" applyFill="1" applyBorder="1" applyAlignment="1">
      <alignment horizontal="right"/>
    </xf>
    <xf numFmtId="38" fontId="2" fillId="0" borderId="14" xfId="22" applyNumberFormat="1" applyFont="1" applyFill="1" applyBorder="1">
      <alignment/>
      <protection/>
    </xf>
    <xf numFmtId="38" fontId="0" fillId="0" borderId="12" xfId="21" applyNumberFormat="1" applyFont="1" applyFill="1" applyBorder="1" applyAlignment="1">
      <alignment horizontal="right"/>
      <protection/>
    </xf>
    <xf numFmtId="38" fontId="0" fillId="0" borderId="12" xfId="21" applyNumberFormat="1" applyFont="1" applyFill="1" applyBorder="1">
      <alignment/>
      <protection/>
    </xf>
    <xf numFmtId="38" fontId="0" fillId="0" borderId="12" xfId="0" applyNumberFormat="1" applyFont="1" applyFill="1" applyBorder="1" applyAlignment="1">
      <alignment/>
    </xf>
    <xf numFmtId="38" fontId="0" fillId="0" borderId="12" xfId="22" applyNumberFormat="1" applyFont="1" applyFill="1" applyBorder="1">
      <alignment/>
      <protection/>
    </xf>
    <xf numFmtId="38" fontId="0" fillId="0" borderId="12" xfId="0" applyNumberFormat="1" applyFont="1" applyBorder="1" applyAlignment="1">
      <alignment/>
    </xf>
    <xf numFmtId="38" fontId="0" fillId="0" borderId="12" xfId="15" applyNumberFormat="1" applyFont="1" applyFill="1" applyBorder="1" applyAlignment="1">
      <alignment/>
    </xf>
    <xf numFmtId="38" fontId="0" fillId="0" borderId="13" xfId="15" applyNumberFormat="1" applyFont="1" applyFill="1" applyBorder="1" applyAlignment="1">
      <alignment horizontal="right"/>
    </xf>
    <xf numFmtId="38" fontId="2" fillId="0" borderId="12" xfId="15" applyNumberFormat="1" applyFont="1" applyFill="1" applyBorder="1" applyAlignment="1">
      <alignment/>
    </xf>
    <xf numFmtId="38" fontId="2" fillId="0" borderId="12" xfId="22" applyNumberFormat="1" applyFont="1" applyFill="1" applyBorder="1">
      <alignment/>
      <protection/>
    </xf>
    <xf numFmtId="38" fontId="2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8" fontId="0" fillId="0" borderId="12" xfId="21" applyNumberFormat="1" applyFont="1" applyFill="1" applyBorder="1" applyAlignment="1" quotePrefix="1">
      <alignment horizontal="right"/>
      <protection/>
    </xf>
    <xf numFmtId="37" fontId="7" fillId="0" borderId="12" xfId="22" applyNumberFormat="1" applyFont="1" applyFill="1" applyBorder="1">
      <alignment/>
      <protection/>
    </xf>
    <xf numFmtId="10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15" xfId="15" applyNumberFormat="1" applyFont="1" applyFill="1" applyBorder="1" applyAlignment="1">
      <alignment horizontal="right"/>
    </xf>
    <xf numFmtId="38" fontId="0" fillId="0" borderId="0" xfId="21" applyNumberFormat="1" applyFont="1" applyFill="1" applyBorder="1" applyAlignment="1" quotePrefix="1">
      <alignment horizontal="right"/>
      <protection/>
    </xf>
    <xf numFmtId="0" fontId="1" fillId="0" borderId="16" xfId="0" applyFont="1" applyFill="1" applyBorder="1" applyAlignment="1">
      <alignment horizontal="center"/>
    </xf>
    <xf numFmtId="38" fontId="2" fillId="0" borderId="17" xfId="0" applyNumberFormat="1" applyFont="1" applyFill="1" applyBorder="1" applyAlignment="1">
      <alignment horizontal="center" wrapText="1"/>
    </xf>
    <xf numFmtId="38" fontId="2" fillId="0" borderId="18" xfId="15" applyNumberFormat="1" applyFont="1" applyFill="1" applyBorder="1" applyAlignment="1">
      <alignment horizontal="right"/>
    </xf>
    <xf numFmtId="38" fontId="0" fillId="0" borderId="16" xfId="15" applyNumberFormat="1" applyFont="1" applyFill="1" applyBorder="1" applyAlignment="1">
      <alignment horizontal="right"/>
    </xf>
    <xf numFmtId="38" fontId="0" fillId="0" borderId="18" xfId="15" applyNumberFormat="1" applyFont="1" applyFill="1" applyBorder="1" applyAlignment="1">
      <alignment horizontal="right"/>
    </xf>
    <xf numFmtId="38" fontId="2" fillId="0" borderId="18" xfId="22" applyNumberFormat="1" applyFont="1" applyFill="1" applyBorder="1">
      <alignment/>
      <protection/>
    </xf>
    <xf numFmtId="38" fontId="0" fillId="0" borderId="16" xfId="21" applyNumberFormat="1" applyFont="1" applyFill="1" applyBorder="1" applyAlignment="1">
      <alignment horizontal="right"/>
      <protection/>
    </xf>
    <xf numFmtId="38" fontId="0" fillId="0" borderId="16" xfId="0" applyNumberFormat="1" applyFont="1" applyFill="1" applyBorder="1" applyAlignment="1">
      <alignment/>
    </xf>
    <xf numFmtId="38" fontId="0" fillId="0" borderId="16" xfId="15" applyNumberFormat="1" applyFont="1" applyFill="1" applyBorder="1" applyAlignment="1">
      <alignment/>
    </xf>
    <xf numFmtId="38" fontId="0" fillId="0" borderId="17" xfId="15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8" fontId="2" fillId="0" borderId="16" xfId="22" applyNumberFormat="1" applyFont="1" applyFill="1" applyBorder="1">
      <alignment/>
      <protection/>
    </xf>
    <xf numFmtId="38" fontId="2" fillId="0" borderId="16" xfId="21" applyNumberFormat="1" applyFont="1" applyFill="1" applyBorder="1">
      <alignment/>
      <protection/>
    </xf>
    <xf numFmtId="38" fontId="2" fillId="0" borderId="1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6" xfId="22" applyNumberFormat="1" applyFont="1" applyFill="1" applyBorder="1">
      <alignment/>
      <protection/>
    </xf>
    <xf numFmtId="10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8" fontId="2" fillId="0" borderId="19" xfId="15" applyNumberFormat="1" applyFont="1" applyFill="1" applyBorder="1" applyAlignment="1">
      <alignment horizontal="right"/>
    </xf>
    <xf numFmtId="38" fontId="0" fillId="0" borderId="0" xfId="21" applyNumberFormat="1" applyFont="1" applyFill="1" applyBorder="1" applyAlignment="1">
      <alignment horizontal="left" indent="1"/>
      <protection/>
    </xf>
    <xf numFmtId="38" fontId="2" fillId="0" borderId="0" xfId="21" applyNumberFormat="1" applyFont="1" applyFill="1" applyBorder="1" applyAlignment="1">
      <alignment horizontal="right"/>
      <protection/>
    </xf>
    <xf numFmtId="38" fontId="2" fillId="0" borderId="12" xfId="21" applyNumberFormat="1" applyFont="1" applyFill="1" applyBorder="1" applyAlignment="1">
      <alignment horizontal="right"/>
      <protection/>
    </xf>
    <xf numFmtId="38" fontId="2" fillId="0" borderId="0" xfId="21" applyNumberFormat="1" applyFont="1" applyFill="1" applyBorder="1">
      <alignment/>
      <protection/>
    </xf>
    <xf numFmtId="38" fontId="2" fillId="0" borderId="12" xfId="21" applyNumberFormat="1" applyFont="1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tai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H1" sqref="H1:H16384"/>
    </sheetView>
  </sheetViews>
  <sheetFormatPr defaultColWidth="9.140625" defaultRowHeight="12.75"/>
  <cols>
    <col min="1" max="1" width="43.7109375" style="165" customWidth="1"/>
    <col min="2" max="3" width="12.8515625" style="165" customWidth="1"/>
    <col min="4" max="4" width="14.28125" style="165" customWidth="1"/>
    <col min="5" max="7" width="12.8515625" style="165" customWidth="1"/>
    <col min="8" max="16384" width="8.8515625" style="165" customWidth="1"/>
  </cols>
  <sheetData>
    <row r="1" spans="1:9" ht="15.75">
      <c r="A1" s="296" t="s">
        <v>234</v>
      </c>
      <c r="B1" s="296"/>
      <c r="C1" s="296"/>
      <c r="D1" s="296"/>
      <c r="E1" s="296"/>
      <c r="F1" s="296"/>
      <c r="G1" s="296"/>
      <c r="H1" s="163"/>
      <c r="I1" s="163"/>
    </row>
    <row r="2" spans="1:9" ht="14.25">
      <c r="A2" s="297" t="s">
        <v>149</v>
      </c>
      <c r="B2" s="297"/>
      <c r="C2" s="297"/>
      <c r="D2" s="297"/>
      <c r="E2" s="297"/>
      <c r="F2" s="297"/>
      <c r="G2" s="297"/>
      <c r="H2" s="164"/>
      <c r="I2" s="164"/>
    </row>
    <row r="3" spans="2:4" ht="12.75">
      <c r="B3" s="93"/>
      <c r="C3" s="93"/>
      <c r="D3" s="93"/>
    </row>
    <row r="4" spans="1:7" ht="12.75">
      <c r="A4" s="166"/>
      <c r="B4" s="167">
        <v>2007</v>
      </c>
      <c r="C4" s="167">
        <v>2008</v>
      </c>
      <c r="D4" s="167">
        <v>2008</v>
      </c>
      <c r="E4" s="167">
        <v>2009</v>
      </c>
      <c r="F4" s="167">
        <v>2010</v>
      </c>
      <c r="G4" s="167">
        <v>2011</v>
      </c>
    </row>
    <row r="5" spans="1:7" ht="14.25">
      <c r="A5" s="168"/>
      <c r="B5" s="169" t="s">
        <v>239</v>
      </c>
      <c r="C5" s="169" t="s">
        <v>109</v>
      </c>
      <c r="D5" s="169" t="s">
        <v>235</v>
      </c>
      <c r="E5" s="169" t="s">
        <v>236</v>
      </c>
      <c r="F5" s="169" t="s">
        <v>237</v>
      </c>
      <c r="G5" s="169" t="s">
        <v>237</v>
      </c>
    </row>
    <row r="6" spans="1:4" ht="12.75">
      <c r="A6" s="94"/>
      <c r="B6" s="93"/>
      <c r="C6" s="93"/>
      <c r="D6" s="93"/>
    </row>
    <row r="7" spans="1:7" ht="12.75">
      <c r="A7" s="170" t="s">
        <v>18</v>
      </c>
      <c r="B7" s="95">
        <f>'Detailed Plan'!B3</f>
        <v>143764572.95999992</v>
      </c>
      <c r="C7" s="95">
        <f>'Detailed Plan'!C3</f>
        <v>113095534.05837941</v>
      </c>
      <c r="D7" s="95">
        <f>'Detailed Plan'!D3</f>
        <v>140648438.92999995</v>
      </c>
      <c r="E7" s="95">
        <f>'Detailed Plan'!E3</f>
        <v>69191555.4749999</v>
      </c>
      <c r="F7" s="95">
        <f>'Detailed Plan'!H3</f>
        <v>82956844.31659985</v>
      </c>
      <c r="G7" s="95">
        <f>'Detailed Plan'!I3</f>
        <v>87569380.73575652</v>
      </c>
    </row>
    <row r="8" ht="12.75">
      <c r="A8" s="94"/>
    </row>
    <row r="9" ht="14.25">
      <c r="A9" s="171" t="s">
        <v>240</v>
      </c>
    </row>
    <row r="10" spans="1:7" ht="12.75">
      <c r="A10" s="172" t="s">
        <v>110</v>
      </c>
      <c r="B10" s="173">
        <f>'Detailed Plan'!B6</f>
        <v>264768058</v>
      </c>
      <c r="C10" s="173">
        <f>'Detailed Plan'!C6</f>
        <v>274184484</v>
      </c>
      <c r="D10" s="173">
        <f>'Detailed Plan'!D6</f>
        <v>272831373</v>
      </c>
      <c r="E10" s="173">
        <f>'Detailed Plan'!E6</f>
        <v>282222052</v>
      </c>
      <c r="F10" s="173">
        <f>'Detailed Plan'!H6</f>
        <v>287928738</v>
      </c>
      <c r="G10" s="173">
        <f>'Detailed Plan'!I6</f>
        <v>294032158</v>
      </c>
    </row>
    <row r="11" spans="1:7" ht="14.25">
      <c r="A11" s="172" t="s">
        <v>241</v>
      </c>
      <c r="B11" s="173">
        <f>'Detailed Plan'!B7</f>
        <v>-18446505</v>
      </c>
      <c r="C11" s="173">
        <f>'Detailed Plan'!C7</f>
        <v>-17974021</v>
      </c>
      <c r="D11" s="173">
        <f>'Detailed Plan'!D7</f>
        <v>-17981392</v>
      </c>
      <c r="E11" s="173">
        <f>'Detailed Plan'!E7</f>
        <v>-21809903</v>
      </c>
      <c r="F11" s="173">
        <f>'Detailed Plan'!H7</f>
        <v>-22555446.4168269</v>
      </c>
      <c r="G11" s="173">
        <f>'Detailed Plan'!I7</f>
        <v>-22751270.5563239</v>
      </c>
    </row>
    <row r="12" spans="1:7" ht="12.75">
      <c r="A12" s="172" t="s">
        <v>145</v>
      </c>
      <c r="B12" s="173">
        <f>SUM('Detailed Plan'!B8:B9)</f>
        <v>83089019</v>
      </c>
      <c r="C12" s="173">
        <f>SUM('Detailed Plan'!C8:C9)</f>
        <v>85425758</v>
      </c>
      <c r="D12" s="173">
        <f>SUM('Detailed Plan'!D8:D9)</f>
        <v>84231000</v>
      </c>
      <c r="E12" s="173">
        <f>SUM('Detailed Plan'!E8:E9)</f>
        <v>80373000</v>
      </c>
      <c r="F12" s="173">
        <f>SUM('Detailed Plan'!H8:H9)</f>
        <v>82704000</v>
      </c>
      <c r="G12" s="173">
        <f>SUM('Detailed Plan'!I8:I9)</f>
        <v>85930000</v>
      </c>
    </row>
    <row r="13" spans="1:7" ht="14.25">
      <c r="A13" s="172" t="s">
        <v>242</v>
      </c>
      <c r="B13" s="173">
        <f>'Detailed Plan'!B10</f>
        <v>20798490</v>
      </c>
      <c r="C13" s="173">
        <f>'Detailed Plan'!C10</f>
        <v>19516494</v>
      </c>
      <c r="D13" s="173">
        <f>'Detailed Plan'!D10</f>
        <v>18557858</v>
      </c>
      <c r="E13" s="173">
        <f>'Detailed Plan'!E10</f>
        <v>18118858</v>
      </c>
      <c r="F13" s="173">
        <f>'Detailed Plan'!H10</f>
        <v>18483815.16</v>
      </c>
      <c r="G13" s="173">
        <f>'Detailed Plan'!I10</f>
        <v>19172831.4632</v>
      </c>
    </row>
    <row r="14" spans="1:7" ht="12.75">
      <c r="A14" s="172" t="s">
        <v>111</v>
      </c>
      <c r="B14" s="173">
        <f>SUM('Detailed Plan'!B11:B12)</f>
        <v>14280100</v>
      </c>
      <c r="C14" s="173">
        <f>SUM('Detailed Plan'!C11:C12)</f>
        <v>22312662</v>
      </c>
      <c r="D14" s="173">
        <f>SUM('Detailed Plan'!D11:D12)</f>
        <v>11697138</v>
      </c>
      <c r="E14" s="173">
        <f>SUM('Detailed Plan'!E11:E12)</f>
        <v>8282500</v>
      </c>
      <c r="F14" s="173">
        <f>SUM('Detailed Plan'!H11:H12)</f>
        <v>8375000</v>
      </c>
      <c r="G14" s="173">
        <f>SUM('Detailed Plan'!I11:I12)</f>
        <v>8761000</v>
      </c>
    </row>
    <row r="15" spans="1:7" ht="14.25">
      <c r="A15" s="172" t="s">
        <v>294</v>
      </c>
      <c r="B15" s="173">
        <f>SUM('Detailed Plan'!B13:B17)+SUM('Detailed Plan'!B19:B23)</f>
        <v>268448002.56</v>
      </c>
      <c r="C15" s="173">
        <f>SUM('Detailed Plan'!C13:C17)+SUM('Detailed Plan'!C19:C23)</f>
        <v>274811960.7592959</v>
      </c>
      <c r="D15" s="173">
        <f>SUM('Detailed Plan'!D13:D17)+SUM('Detailed Plan'!D19:D23)</f>
        <v>253079635</v>
      </c>
      <c r="E15" s="173">
        <f>SUM('Detailed Plan'!E13:E17)+SUM('Detailed Plan'!E19:E23)</f>
        <v>271639965</v>
      </c>
      <c r="F15" s="173">
        <f>SUM('Detailed Plan'!H13:H17)+SUM('Detailed Plan'!H19:H23)</f>
        <v>280692493.41</v>
      </c>
      <c r="G15" s="173">
        <f>SUM('Detailed Plan'!I13:I17)+SUM('Detailed Plan'!I19:I23)</f>
        <v>273952569.0182</v>
      </c>
    </row>
    <row r="16" spans="1:7" ht="12.75">
      <c r="A16" s="94"/>
      <c r="B16" s="93"/>
      <c r="C16" s="93"/>
      <c r="D16" s="93"/>
      <c r="E16" s="93"/>
      <c r="F16" s="93"/>
      <c r="G16" s="93"/>
    </row>
    <row r="17" spans="1:7" ht="12.75">
      <c r="A17" s="170" t="s">
        <v>112</v>
      </c>
      <c r="B17" s="174">
        <f aca="true" t="shared" si="0" ref="B17:G17">SUM(B10:B15)</f>
        <v>632937164.56</v>
      </c>
      <c r="C17" s="174">
        <f t="shared" si="0"/>
        <v>658277337.759296</v>
      </c>
      <c r="D17" s="174">
        <f t="shared" si="0"/>
        <v>622415612</v>
      </c>
      <c r="E17" s="174">
        <f t="shared" si="0"/>
        <v>638826472</v>
      </c>
      <c r="F17" s="174">
        <f t="shared" si="0"/>
        <v>655628600.1531732</v>
      </c>
      <c r="G17" s="174">
        <f t="shared" si="0"/>
        <v>659097287.925076</v>
      </c>
    </row>
    <row r="18" spans="1:7" ht="12.75">
      <c r="A18" s="94"/>
      <c r="B18" s="176"/>
      <c r="C18" s="176"/>
      <c r="D18" s="176"/>
      <c r="E18" s="176"/>
      <c r="F18" s="176"/>
      <c r="G18" s="176"/>
    </row>
    <row r="19" spans="1:7" ht="12.75">
      <c r="A19" s="171" t="s">
        <v>36</v>
      </c>
      <c r="B19" s="93"/>
      <c r="C19" s="93"/>
      <c r="D19" s="93"/>
      <c r="E19" s="93"/>
      <c r="F19" s="93"/>
      <c r="G19" s="93"/>
    </row>
    <row r="20" spans="1:7" ht="14.25">
      <c r="A20" s="172" t="s">
        <v>243</v>
      </c>
      <c r="B20" s="173">
        <f>'Detailed Plan'!B31</f>
        <v>-573768426.66</v>
      </c>
      <c r="C20" s="173">
        <f>'Detailed Plan'!C31</f>
        <v>-610374716</v>
      </c>
      <c r="D20" s="173">
        <f>'Detailed Plan'!D31</f>
        <v>-625429404</v>
      </c>
      <c r="E20" s="173">
        <f>'Detailed Plan'!E31</f>
        <v>-618910181</v>
      </c>
      <c r="F20" s="173">
        <f>'Detailed Plan'!H31</f>
        <v>-678104519.4133084</v>
      </c>
      <c r="G20" s="173">
        <f>'Detailed Plan'!I31</f>
        <v>-709334019.3664213</v>
      </c>
    </row>
    <row r="21" spans="1:7" ht="14.25">
      <c r="A21" s="172" t="s">
        <v>244</v>
      </c>
      <c r="B21" s="173">
        <f>'Detailed Plan'!B32</f>
        <v>-17595040.5</v>
      </c>
      <c r="C21" s="173">
        <f>'Detailed Plan'!C32</f>
        <v>-19208637</v>
      </c>
      <c r="D21" s="173">
        <f>'Detailed Plan'!D32</f>
        <v>-19208637</v>
      </c>
      <c r="E21" s="173">
        <f>'Detailed Plan'!E32</f>
        <v>-19820763</v>
      </c>
      <c r="F21" s="173">
        <f>'Detailed Plan'!H32</f>
        <v>-20760267.166200005</v>
      </c>
      <c r="G21" s="173">
        <f>'Detailed Plan'!I32</f>
        <v>-21590677.85284801</v>
      </c>
    </row>
    <row r="22" spans="1:7" ht="14.25">
      <c r="A22" s="172" t="s">
        <v>292</v>
      </c>
      <c r="B22" s="173">
        <f>'Detailed Plan'!B33</f>
        <v>-17588755</v>
      </c>
      <c r="C22" s="173">
        <f>'Detailed Plan'!C33</f>
        <v>-12068669</v>
      </c>
      <c r="D22" s="173">
        <f>'Detailed Plan'!D33</f>
        <v>-18040563</v>
      </c>
      <c r="E22" s="173">
        <f>'Detailed Plan'!E33</f>
        <v>-12957215</v>
      </c>
      <c r="F22" s="173">
        <f>'Detailed Plan'!H33</f>
        <v>-13557166.991</v>
      </c>
      <c r="G22" s="173">
        <f>'Detailed Plan'!I33</f>
        <v>-13787453.670640001</v>
      </c>
    </row>
    <row r="23" spans="1:7" ht="14.25">
      <c r="A23" s="172" t="s">
        <v>245</v>
      </c>
      <c r="B23" s="173"/>
      <c r="C23" s="173"/>
      <c r="D23" s="173"/>
      <c r="E23" s="173">
        <f>'Detailed Plan'!E46</f>
        <v>10526971</v>
      </c>
      <c r="F23" s="173">
        <f>'Detailed Plan'!H46</f>
        <v>23190898.850800004</v>
      </c>
      <c r="G23" s="173">
        <f>'Detailed Plan'!I46</f>
        <v>24717534.804832004</v>
      </c>
    </row>
    <row r="24" spans="1:7" ht="14.25">
      <c r="A24" s="172" t="s">
        <v>293</v>
      </c>
      <c r="B24" s="173">
        <f>SUM('Detailed Plan'!B35:'Detailed Plan'!B53)-'Detailed Plan'!B46+'Detailed Plan'!B61+'Detailed Plan'!B62</f>
        <v>-27101076.43</v>
      </c>
      <c r="C24" s="173">
        <f>SUM('Detailed Plan'!C35:'Detailed Plan'!C53)-'Detailed Plan'!C46+'Detailed Plan'!C61+'Detailed Plan'!C62</f>
        <v>-24888714.634198908</v>
      </c>
      <c r="D24" s="173">
        <f>SUM('Detailed Plan'!D35:'Detailed Plan'!D53)-'Detailed Plan'!D46+'Detailed Plan'!D61+'Detailed Plan'!D62</f>
        <v>-12758791</v>
      </c>
      <c r="E24" s="173">
        <f>SUM('Detailed Plan'!E35:'Detailed Plan'!E50)-'Detailed Plan'!E46+'Detailed Plan'!E61+'Detailed Plan'!E62</f>
        <v>-5329843.158399999</v>
      </c>
      <c r="F24" s="173">
        <f>SUM('Detailed Plan'!H35:'Detailed Plan'!H50)-'Detailed Plan'!H46+'Detailed Plan'!H61+'Detailed Plan'!H62</f>
        <v>-5513604.12750816</v>
      </c>
      <c r="G24" s="173">
        <f>SUM('Detailed Plan'!I35:'Detailed Plan'!I50)-'Detailed Plan'!I46+'Detailed Plan'!I61+'Detailed Plan'!I62</f>
        <v>-5555308.308208484</v>
      </c>
    </row>
    <row r="25" spans="1:7" ht="14.25">
      <c r="A25" s="172" t="s">
        <v>288</v>
      </c>
      <c r="B25" s="173"/>
      <c r="C25" s="173"/>
      <c r="D25" s="173"/>
      <c r="E25" s="173">
        <f>SUM('Detailed Plan'!E51:'Detailed Plan'!E53)</f>
        <v>-2636105</v>
      </c>
      <c r="F25" s="173">
        <f>SUM('Detailed Plan'!H51:'Detailed Plan'!H53)</f>
        <v>1772590</v>
      </c>
      <c r="G25" s="173">
        <f>SUM('Detailed Plan'!I51:'Detailed Plan'!I53)</f>
        <v>1836403.24</v>
      </c>
    </row>
    <row r="26" spans="1:7" ht="14.25">
      <c r="A26" s="172" t="s">
        <v>246</v>
      </c>
      <c r="B26" s="173">
        <f>'Detailed Plan'!B54</f>
        <v>0</v>
      </c>
      <c r="C26" s="173">
        <f>'Detailed Plan'!C54</f>
        <v>4849940.545</v>
      </c>
      <c r="D26" s="173">
        <f>'Detailed Plan'!D54</f>
        <v>4849940.545</v>
      </c>
      <c r="E26" s="173">
        <f>'Detailed Plan'!E54</f>
        <v>2798814</v>
      </c>
      <c r="F26" s="173">
        <f>'Detailed Plan'!H54</f>
        <v>2931477.7836</v>
      </c>
      <c r="G26" s="173">
        <f>'Detailed Plan'!I54</f>
        <v>3048736.8949440005</v>
      </c>
    </row>
    <row r="27" spans="1:7" ht="14.25">
      <c r="A27" s="172" t="s">
        <v>247</v>
      </c>
      <c r="B27" s="93"/>
      <c r="C27" s="93"/>
      <c r="D27" s="93"/>
      <c r="E27" s="93"/>
      <c r="F27" s="93">
        <f>SUM('Detailed Plan'!H55:'Detailed Plan'!H58)</f>
        <v>39024527.32960001</v>
      </c>
      <c r="G27" s="93">
        <f>SUM('Detailed Plan'!I55:'Detailed Plan'!I58)</f>
        <v>60393762.70278401</v>
      </c>
    </row>
    <row r="28" spans="1:7" ht="12.75">
      <c r="A28" s="94"/>
      <c r="B28" s="93"/>
      <c r="C28" s="93"/>
      <c r="D28" s="93"/>
      <c r="E28" s="93"/>
      <c r="F28" s="93"/>
      <c r="G28" s="93"/>
    </row>
    <row r="29" spans="1:7" ht="12.75">
      <c r="A29" s="170" t="s">
        <v>113</v>
      </c>
      <c r="B29" s="95">
        <f aca="true" t="shared" si="1" ref="B29:G29">SUM(B20:B28)</f>
        <v>-636053298.5899999</v>
      </c>
      <c r="C29" s="95">
        <f t="shared" si="1"/>
        <v>-661690796.089199</v>
      </c>
      <c r="D29" s="95">
        <f t="shared" si="1"/>
        <v>-670587454.455</v>
      </c>
      <c r="E29" s="95">
        <f t="shared" si="1"/>
        <v>-646328322.1584</v>
      </c>
      <c r="F29" s="95">
        <f t="shared" si="1"/>
        <v>-651016063.7340167</v>
      </c>
      <c r="G29" s="95">
        <f t="shared" si="1"/>
        <v>-660271021.5555578</v>
      </c>
    </row>
    <row r="30" spans="1:7" ht="13.5" customHeight="1">
      <c r="A30" s="94"/>
      <c r="B30" s="93"/>
      <c r="C30" s="93"/>
      <c r="D30" s="93"/>
      <c r="E30" s="93"/>
      <c r="F30" s="93"/>
      <c r="G30" s="93"/>
    </row>
    <row r="31" spans="1:7" ht="12.75">
      <c r="A31" s="170" t="s">
        <v>238</v>
      </c>
      <c r="B31" s="95">
        <f>'Detailed Plan'!B67</f>
        <v>140648438.92999995</v>
      </c>
      <c r="C31" s="95">
        <f>'Detailed Plan'!C67</f>
        <v>109682075.7284764</v>
      </c>
      <c r="D31" s="95">
        <f>'Detailed Plan'!D67</f>
        <v>69191555.4749999</v>
      </c>
      <c r="E31" s="95">
        <f>'Detailed Plan'!E67</f>
        <v>61689705.316599846</v>
      </c>
      <c r="F31" s="95">
        <f>'Detailed Plan'!H67</f>
        <v>87569380.73575652</v>
      </c>
      <c r="G31" s="95">
        <f>'Detailed Plan'!I67</f>
        <v>86395647.10527468</v>
      </c>
    </row>
    <row r="32" spans="1:7" ht="12.75">
      <c r="A32" s="94"/>
      <c r="B32" s="93"/>
      <c r="C32" s="93"/>
      <c r="D32" s="93"/>
      <c r="E32" s="93"/>
      <c r="F32" s="93"/>
      <c r="G32" s="93"/>
    </row>
    <row r="33" spans="1:7" ht="12.75">
      <c r="A33" s="171" t="s">
        <v>54</v>
      </c>
      <c r="B33" s="93"/>
      <c r="C33" s="93"/>
      <c r="D33" s="93"/>
      <c r="E33" s="93"/>
      <c r="F33" s="93"/>
      <c r="G33" s="93"/>
    </row>
    <row r="34" spans="1:7" ht="14.25">
      <c r="A34" s="172" t="s">
        <v>248</v>
      </c>
      <c r="B34" s="173">
        <f>SUM('Detailed Plan'!B70:B74)+SUM('Detailed Plan'!B87:B90)</f>
        <v>-44941050.91</v>
      </c>
      <c r="C34" s="173">
        <f>SUM('Detailed Plan'!C70:C74)+SUM('Detailed Plan'!C87:C90)</f>
        <v>-17249595.060801093</v>
      </c>
      <c r="D34" s="173">
        <f>SUM('Detailed Plan'!D70:D74)+SUM('Detailed Plan'!D87:D90)</f>
        <v>-1337641</v>
      </c>
      <c r="E34" s="173">
        <f>SUM('Detailed Plan'!E70:E74)+SUM('Detailed Plan'!E87:E90)</f>
        <v>-954762</v>
      </c>
      <c r="F34" s="173">
        <f>SUM('Detailed Plan'!H70:H74)+SUM('Detailed Plan'!H87:H90)</f>
        <v>-954762</v>
      </c>
      <c r="G34" s="173">
        <f>SUM('Detailed Plan'!I70:I74)+SUM('Detailed Plan'!I87:I90)</f>
        <v>-954762</v>
      </c>
    </row>
    <row r="35" spans="1:8" ht="14.25">
      <c r="A35" s="172" t="s">
        <v>249</v>
      </c>
      <c r="B35" s="173">
        <f>SUM('Detailed Plan'!B114:'Detailed Plan'!B121)</f>
        <v>0</v>
      </c>
      <c r="C35" s="173">
        <f>SUM('Detailed Plan'!C114:'Detailed Plan'!C121)</f>
        <v>-15023166</v>
      </c>
      <c r="D35" s="173">
        <f>SUM('Detailed Plan'!D114:'Detailed Plan'!D121)</f>
        <v>0</v>
      </c>
      <c r="E35" s="173">
        <f>SUM('Detailed Plan'!E114:'Detailed Plan'!E121)</f>
        <v>0</v>
      </c>
      <c r="F35" s="173">
        <f>SUM('Detailed Plan'!H114:'Detailed Plan'!H121)</f>
        <v>-10250000</v>
      </c>
      <c r="G35" s="173">
        <f>SUM('Detailed Plan'!I114:'Detailed Plan'!I121)</f>
        <v>-10000000</v>
      </c>
      <c r="H35" s="173"/>
    </row>
    <row r="36" spans="1:7" ht="14.25">
      <c r="A36" s="172" t="s">
        <v>295</v>
      </c>
      <c r="B36" s="173">
        <f>Footnotes!F74*1000000</f>
        <v>-55587561.99999999</v>
      </c>
      <c r="C36" s="173">
        <f>Footnotes!G74*1000000</f>
        <v>-44304384</v>
      </c>
      <c r="D36" s="173">
        <f>Footnotes!H74*1000000</f>
        <v>-33618098</v>
      </c>
      <c r="E36" s="173">
        <f>Footnotes!I74*1000000</f>
        <v>-28517806</v>
      </c>
      <c r="F36" s="173">
        <f>Footnotes!J74*1000000</f>
        <v>-22784943.022199996</v>
      </c>
      <c r="G36" s="173">
        <f>Footnotes!K74*1000000</f>
        <v>-20533967.2589992</v>
      </c>
    </row>
    <row r="37" spans="1:7" ht="12.75">
      <c r="A37" s="94"/>
      <c r="B37" s="93"/>
      <c r="C37" s="93"/>
      <c r="D37" s="93"/>
      <c r="E37" s="93"/>
      <c r="F37" s="93"/>
      <c r="G37" s="93"/>
    </row>
    <row r="38" spans="1:7" ht="12.75">
      <c r="A38" s="170" t="s">
        <v>114</v>
      </c>
      <c r="B38" s="95">
        <f aca="true" t="shared" si="2" ref="B38:G38">SUM(B34:B36)</f>
        <v>-100528612.91</v>
      </c>
      <c r="C38" s="95">
        <f t="shared" si="2"/>
        <v>-76577145.06080109</v>
      </c>
      <c r="D38" s="95">
        <f t="shared" si="2"/>
        <v>-34955739</v>
      </c>
      <c r="E38" s="95">
        <f t="shared" si="2"/>
        <v>-29472568</v>
      </c>
      <c r="F38" s="95">
        <f t="shared" si="2"/>
        <v>-33989705.022199996</v>
      </c>
      <c r="G38" s="95">
        <f t="shared" si="2"/>
        <v>-31488729.2589992</v>
      </c>
    </row>
    <row r="39" spans="1:7" ht="12.75">
      <c r="A39" s="177"/>
      <c r="B39" s="178"/>
      <c r="C39" s="178"/>
      <c r="D39" s="178"/>
      <c r="E39" s="178"/>
      <c r="F39" s="178"/>
      <c r="G39" s="178"/>
    </row>
    <row r="40" spans="1:7" ht="12.75">
      <c r="A40" s="170" t="s">
        <v>115</v>
      </c>
      <c r="B40" s="95">
        <f>'Detailed Plan'!B127</f>
        <v>40119826.01999995</v>
      </c>
      <c r="C40" s="95">
        <f>'Detailed Plan'!C127</f>
        <v>33104930.667675316</v>
      </c>
      <c r="D40" s="95">
        <f>'Detailed Plan'!D127</f>
        <v>33516277.474999905</v>
      </c>
      <c r="E40" s="95">
        <f>'Detailed Plan'!E127</f>
        <v>32217137.316599846</v>
      </c>
      <c r="F40" s="95">
        <f>'Detailed Plan'!H127</f>
        <v>53579675.71355652</v>
      </c>
      <c r="G40" s="95">
        <f>'Detailed Plan'!I127</f>
        <v>54906917.84627548</v>
      </c>
    </row>
    <row r="41" spans="1:7" ht="12.75">
      <c r="A41" s="170"/>
      <c r="B41" s="95"/>
      <c r="C41" s="95"/>
      <c r="D41" s="95"/>
      <c r="E41" s="95"/>
      <c r="F41" s="95"/>
      <c r="G41" s="95"/>
    </row>
    <row r="42" spans="1:7" ht="12.75">
      <c r="A42" s="170" t="s">
        <v>116</v>
      </c>
      <c r="B42" s="95">
        <f>'Detailed Plan'!B131</f>
        <v>7681729.619999953</v>
      </c>
      <c r="C42" s="95">
        <f>'Detailed Plan'!C131</f>
        <v>13409</v>
      </c>
      <c r="D42" s="95">
        <f>'Detailed Plan'!D131</f>
        <v>1437474.6949999072</v>
      </c>
      <c r="E42" s="95">
        <f>'Detailed Plan'!E131</f>
        <v>20962.896599847823</v>
      </c>
      <c r="F42" s="95">
        <f>'Detailed Plan'!H131</f>
        <v>21110100.795166135</v>
      </c>
      <c r="G42" s="95">
        <f>'Detailed Plan'!I131</f>
        <v>21308349.827786908</v>
      </c>
    </row>
    <row r="43" spans="1:7" ht="12.75">
      <c r="A43" s="94"/>
      <c r="B43" s="99"/>
      <c r="C43" s="99"/>
      <c r="D43" s="99"/>
      <c r="E43" s="99"/>
      <c r="F43" s="99"/>
      <c r="G43" s="99"/>
    </row>
    <row r="44" spans="1:7" ht="12.75">
      <c r="A44" s="175" t="s">
        <v>117</v>
      </c>
      <c r="B44" s="179"/>
      <c r="C44" s="179"/>
      <c r="D44" s="179">
        <f>(D17/B17)-1</f>
        <v>-0.016623376140843638</v>
      </c>
      <c r="E44" s="179">
        <f>(E17/C17)-1</f>
        <v>-0.029548132137594996</v>
      </c>
      <c r="F44" s="179">
        <f>(F17/E17)-1</f>
        <v>0.026301552752768798</v>
      </c>
      <c r="G44" s="179">
        <f>(G17/F17)-1</f>
        <v>0.005290629132244096</v>
      </c>
    </row>
    <row r="45" spans="1:7" ht="12.75">
      <c r="A45" s="175" t="s">
        <v>118</v>
      </c>
      <c r="B45" s="179"/>
      <c r="C45" s="179"/>
      <c r="D45" s="179">
        <f>(D29/B29)-1</f>
        <v>0.054294437182474065</v>
      </c>
      <c r="E45" s="179">
        <f>(E29/C29)-1</f>
        <v>-0.02321699806253308</v>
      </c>
      <c r="F45" s="179">
        <f>(F29/E29)-1</f>
        <v>0.007252879712839944</v>
      </c>
      <c r="G45" s="179">
        <f>(G29/F29)-1</f>
        <v>0.014216174280643257</v>
      </c>
    </row>
    <row r="46" spans="1:4" ht="12.75">
      <c r="A46" s="94"/>
      <c r="B46" s="93"/>
      <c r="C46" s="93"/>
      <c r="D46" s="180"/>
    </row>
  </sheetData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zoomScaleSheetLayoutView="100" workbookViewId="0" topLeftCell="A148">
      <selection activeCell="A174" sqref="A174:IV174"/>
    </sheetView>
  </sheetViews>
  <sheetFormatPr defaultColWidth="9.140625" defaultRowHeight="12.75"/>
  <cols>
    <col min="1" max="1" width="3.28125" style="80" customWidth="1"/>
    <col min="2" max="2" width="1.7109375" style="80" customWidth="1"/>
    <col min="3" max="4" width="9.140625" style="80" customWidth="1"/>
    <col min="5" max="5" width="11.00390625" style="80" customWidth="1"/>
    <col min="6" max="6" width="12.140625" style="80" bestFit="1" customWidth="1"/>
    <col min="7" max="7" width="10.28125" style="80" customWidth="1"/>
    <col min="8" max="8" width="12.7109375" style="80" customWidth="1"/>
    <col min="9" max="9" width="11.00390625" style="80" customWidth="1"/>
    <col min="10" max="11" width="9.8515625" style="80" customWidth="1"/>
    <col min="12" max="16384" width="9.140625" style="80" customWidth="1"/>
  </cols>
  <sheetData>
    <row r="1" s="155" customFormat="1" ht="15.75">
      <c r="A1" s="131" t="s">
        <v>211</v>
      </c>
    </row>
    <row r="2" ht="12">
      <c r="A2" s="132" t="s">
        <v>138</v>
      </c>
    </row>
    <row r="4" spans="1:3" ht="12">
      <c r="A4" s="80" t="s">
        <v>139</v>
      </c>
      <c r="C4" s="80" t="s">
        <v>230</v>
      </c>
    </row>
    <row r="5" ht="12">
      <c r="C5" s="80" t="s">
        <v>140</v>
      </c>
    </row>
    <row r="7" spans="1:3" ht="12">
      <c r="A7" s="80" t="s">
        <v>141</v>
      </c>
      <c r="C7" s="80" t="s">
        <v>212</v>
      </c>
    </row>
    <row r="8" ht="12">
      <c r="C8" s="80" t="s">
        <v>142</v>
      </c>
    </row>
    <row r="9" ht="12">
      <c r="C9" s="80" t="s">
        <v>143</v>
      </c>
    </row>
    <row r="11" spans="7:11" ht="12">
      <c r="G11" s="141">
        <v>2007</v>
      </c>
      <c r="H11" s="141">
        <f>G11+1</f>
        <v>2008</v>
      </c>
      <c r="I11" s="141">
        <f>H11+1</f>
        <v>2009</v>
      </c>
      <c r="J11" s="141">
        <f>I11+1</f>
        <v>2010</v>
      </c>
      <c r="K11" s="141">
        <f>J11+1</f>
        <v>2011</v>
      </c>
    </row>
    <row r="12" spans="3:16" ht="12">
      <c r="C12" s="80" t="s">
        <v>144</v>
      </c>
      <c r="G12" s="142" t="s">
        <v>119</v>
      </c>
      <c r="H12" s="143">
        <f>('Detailed Plan'!D7+'Detailed Plan'!D6)/('Detailed Plan'!B7+'Detailed Plan'!B6)-1</f>
        <v>0.034623149684347654</v>
      </c>
      <c r="I12" s="143">
        <f>('Detailed Plan'!E7+'Detailed Plan'!E6)/('Detailed Plan'!D7+'Detailed Plan'!D6)-1</f>
        <v>0.021825263545929063</v>
      </c>
      <c r="J12" s="143">
        <f>('Detailed Plan'!H7+'Detailed Plan'!H6)/('Detailed Plan'!E7+'Detailed Plan'!E6)-1</f>
        <v>0.019051118015131818</v>
      </c>
      <c r="K12" s="143">
        <f>('Detailed Plan'!I7+'Detailed Plan'!I6)/('Detailed Plan'!H7+'Detailed Plan'!H6)-1</f>
        <v>0.02226145602392493</v>
      </c>
      <c r="M12" s="143"/>
      <c r="N12" s="143"/>
      <c r="O12" s="143"/>
      <c r="P12" s="143"/>
    </row>
    <row r="13" spans="3:16" ht="12">
      <c r="C13" s="80" t="s">
        <v>145</v>
      </c>
      <c r="G13" s="142" t="s">
        <v>119</v>
      </c>
      <c r="H13" s="143">
        <f>('Detailed Plan'!D8)/('Detailed Plan'!B8)-1</f>
        <v>-0.042100472987892656</v>
      </c>
      <c r="I13" s="143">
        <f>('Detailed Plan'!E8+'Detailed Plan'!E9)/('Detailed Plan'!D8+'Detailed Plan'!D9)-1</f>
        <v>-0.04580261423941301</v>
      </c>
      <c r="J13" s="143">
        <f>('Detailed Plan'!H8+'Detailed Plan'!H9)/('Detailed Plan'!E8+'Detailed Plan'!E9)-1</f>
        <v>0.029002276884028122</v>
      </c>
      <c r="K13" s="143">
        <f>('Detailed Plan'!I8+'Detailed Plan'!I9)/('Detailed Plan'!H8+'Detailed Plan'!H9)-1</f>
        <v>0.039006577674598475</v>
      </c>
      <c r="M13" s="143"/>
      <c r="N13" s="143"/>
      <c r="O13" s="143"/>
      <c r="P13" s="143"/>
    </row>
    <row r="14" spans="3:16" ht="12">
      <c r="C14" s="80" t="s">
        <v>111</v>
      </c>
      <c r="G14" s="142" t="s">
        <v>119</v>
      </c>
      <c r="H14" s="181">
        <v>0.031</v>
      </c>
      <c r="I14" s="181">
        <v>0.0235</v>
      </c>
      <c r="J14" s="181">
        <v>0.025</v>
      </c>
      <c r="K14" s="181">
        <v>0.027</v>
      </c>
      <c r="L14" s="82"/>
      <c r="M14" s="143"/>
      <c r="N14" s="143"/>
      <c r="O14" s="143"/>
      <c r="P14" s="143"/>
    </row>
    <row r="15" spans="3:11" ht="24">
      <c r="C15" s="144" t="s">
        <v>146</v>
      </c>
      <c r="G15" s="145" t="s">
        <v>119</v>
      </c>
      <c r="H15" s="146" t="s">
        <v>147</v>
      </c>
      <c r="I15" s="146" t="s">
        <v>147</v>
      </c>
      <c r="J15" s="146" t="s">
        <v>147</v>
      </c>
      <c r="K15" s="146" t="s">
        <v>147</v>
      </c>
    </row>
    <row r="17" spans="1:11" ht="12">
      <c r="A17" s="80" t="s">
        <v>148</v>
      </c>
      <c r="C17" s="82" t="s">
        <v>213</v>
      </c>
      <c r="D17" s="82"/>
      <c r="E17" s="82"/>
      <c r="F17" s="82"/>
      <c r="G17" s="82"/>
      <c r="H17" s="82"/>
      <c r="I17" s="82"/>
      <c r="J17" s="82"/>
      <c r="K17" s="82"/>
    </row>
    <row r="18" spans="3:11" ht="12">
      <c r="C18" s="82" t="s">
        <v>149</v>
      </c>
      <c r="D18" s="82"/>
      <c r="E18" s="82"/>
      <c r="F18" s="82"/>
      <c r="G18" s="82"/>
      <c r="H18" s="82"/>
      <c r="I18" s="82"/>
      <c r="J18" s="82"/>
      <c r="K18" s="82"/>
    </row>
    <row r="19" spans="3:11" ht="12">
      <c r="C19" s="82" t="s">
        <v>150</v>
      </c>
      <c r="D19" s="82"/>
      <c r="E19" s="82"/>
      <c r="F19" s="82"/>
      <c r="G19" s="141">
        <v>2007</v>
      </c>
      <c r="H19" s="141">
        <f>G19+1</f>
        <v>2008</v>
      </c>
      <c r="I19" s="141">
        <f>H19+1</f>
        <v>2009</v>
      </c>
      <c r="J19" s="141">
        <f>I19+1</f>
        <v>2010</v>
      </c>
      <c r="K19" s="141">
        <f>J19+1</f>
        <v>2011</v>
      </c>
    </row>
    <row r="20" spans="3:12" ht="12">
      <c r="C20" s="82" t="s">
        <v>151</v>
      </c>
      <c r="D20" s="82"/>
      <c r="E20" s="82"/>
      <c r="F20" s="82"/>
      <c r="G20" s="182">
        <v>18.447</v>
      </c>
      <c r="H20" s="182">
        <v>17.981392</v>
      </c>
      <c r="I20" s="182">
        <v>17.98</v>
      </c>
      <c r="J20" s="182">
        <v>16.38</v>
      </c>
      <c r="K20" s="182">
        <v>16.38</v>
      </c>
      <c r="L20" s="82"/>
    </row>
    <row r="21" spans="3:12" ht="12">
      <c r="C21" s="80" t="s">
        <v>231</v>
      </c>
      <c r="D21" s="82"/>
      <c r="E21" s="82"/>
      <c r="F21" s="82"/>
      <c r="G21" s="182"/>
      <c r="H21" s="182"/>
      <c r="I21" s="182">
        <v>3.83</v>
      </c>
      <c r="J21" s="182">
        <v>3.83</v>
      </c>
      <c r="K21" s="182">
        <v>3.83</v>
      </c>
      <c r="L21" s="82"/>
    </row>
    <row r="22" spans="3:12" ht="12">
      <c r="C22" s="80" t="s">
        <v>233</v>
      </c>
      <c r="D22" s="82"/>
      <c r="E22" s="82"/>
      <c r="F22" s="82"/>
      <c r="G22" s="182"/>
      <c r="H22" s="182"/>
      <c r="I22" s="182"/>
      <c r="J22" s="182">
        <v>2.34</v>
      </c>
      <c r="K22" s="182">
        <v>2.34</v>
      </c>
      <c r="L22" s="82"/>
    </row>
    <row r="23" spans="3:12" ht="12">
      <c r="C23" s="148" t="s">
        <v>232</v>
      </c>
      <c r="D23" s="82"/>
      <c r="E23" s="82"/>
      <c r="F23" s="82"/>
      <c r="G23" s="182"/>
      <c r="H23" s="182"/>
      <c r="I23" s="182"/>
      <c r="J23" s="182"/>
      <c r="K23" s="182">
        <v>0.2</v>
      </c>
      <c r="L23" s="82"/>
    </row>
    <row r="24" spans="3:12" ht="12">
      <c r="C24" s="82"/>
      <c r="D24" s="82"/>
      <c r="E24" s="82"/>
      <c r="F24" s="82"/>
      <c r="G24" s="183"/>
      <c r="H24" s="183"/>
      <c r="I24" s="183"/>
      <c r="J24" s="183"/>
      <c r="K24" s="183"/>
      <c r="L24" s="82"/>
    </row>
    <row r="25" spans="3:11" ht="12">
      <c r="C25" s="82"/>
      <c r="D25" s="82"/>
      <c r="E25" s="149" t="s">
        <v>152</v>
      </c>
      <c r="F25" s="82"/>
      <c r="G25" s="182">
        <f>SUM(G20:G24)</f>
        <v>18.447</v>
      </c>
      <c r="H25" s="182">
        <f>SUM(H20:H24)</f>
        <v>17.981392</v>
      </c>
      <c r="I25" s="182">
        <f>SUM(I20:I24)</f>
        <v>21.810000000000002</v>
      </c>
      <c r="J25" s="182">
        <f>SUM(J20:J24)</f>
        <v>22.55</v>
      </c>
      <c r="K25" s="182">
        <f>SUM(K20:K24)</f>
        <v>22.75</v>
      </c>
    </row>
    <row r="26" spans="3:11" ht="12">
      <c r="C26" s="148"/>
      <c r="D26" s="82"/>
      <c r="E26" s="82"/>
      <c r="F26" s="82"/>
      <c r="G26" s="147"/>
      <c r="H26" s="147"/>
      <c r="I26" s="147"/>
      <c r="J26" s="147"/>
      <c r="K26" s="82"/>
    </row>
    <row r="27" spans="1:3" ht="12">
      <c r="A27" s="80" t="s">
        <v>153</v>
      </c>
      <c r="C27" s="80" t="s">
        <v>250</v>
      </c>
    </row>
    <row r="28" ht="12">
      <c r="C28" s="80" t="s">
        <v>251</v>
      </c>
    </row>
    <row r="30" spans="1:3" ht="12">
      <c r="A30" s="80" t="s">
        <v>154</v>
      </c>
      <c r="C30" s="80" t="s">
        <v>252</v>
      </c>
    </row>
    <row r="31" ht="12">
      <c r="C31" s="80" t="s">
        <v>253</v>
      </c>
    </row>
    <row r="32" ht="12">
      <c r="C32" s="80" t="s">
        <v>254</v>
      </c>
    </row>
    <row r="33" spans="3:12" ht="12">
      <c r="C33" s="80" t="s">
        <v>255</v>
      </c>
      <c r="L33" s="92"/>
    </row>
    <row r="34" ht="12">
      <c r="L34" s="82"/>
    </row>
    <row r="35" spans="1:12" ht="12">
      <c r="A35" s="80" t="s">
        <v>156</v>
      </c>
      <c r="C35" s="80" t="s">
        <v>256</v>
      </c>
      <c r="L35" s="82"/>
    </row>
    <row r="36" spans="3:12" ht="12">
      <c r="C36" s="80" t="s">
        <v>257</v>
      </c>
      <c r="L36" s="82"/>
    </row>
    <row r="37" spans="3:12" ht="12">
      <c r="C37" s="80" t="s">
        <v>258</v>
      </c>
      <c r="L37" s="82"/>
    </row>
    <row r="38" spans="3:12" ht="12">
      <c r="C38" s="80" t="s">
        <v>216</v>
      </c>
      <c r="L38" s="82"/>
    </row>
    <row r="39" ht="12">
      <c r="L39" s="82"/>
    </row>
    <row r="40" spans="1:12" ht="12">
      <c r="A40" s="80" t="s">
        <v>157</v>
      </c>
      <c r="C40" s="80" t="s">
        <v>217</v>
      </c>
      <c r="L40" s="82"/>
    </row>
    <row r="41" spans="3:12" ht="12">
      <c r="C41" s="80" t="s">
        <v>218</v>
      </c>
      <c r="L41" s="82"/>
    </row>
    <row r="42" ht="12">
      <c r="C42" s="80" t="s">
        <v>259</v>
      </c>
    </row>
    <row r="44" spans="1:3" ht="12">
      <c r="A44" s="80" t="s">
        <v>158</v>
      </c>
      <c r="C44" s="80" t="s">
        <v>160</v>
      </c>
    </row>
    <row r="46" spans="6:11" ht="24">
      <c r="F46" s="154" t="s">
        <v>220</v>
      </c>
      <c r="G46" s="133" t="s">
        <v>219</v>
      </c>
      <c r="H46" s="133" t="s">
        <v>137</v>
      </c>
      <c r="I46" s="133" t="s">
        <v>129</v>
      </c>
      <c r="J46" s="134" t="s">
        <v>161</v>
      </c>
      <c r="K46" s="133" t="s">
        <v>221</v>
      </c>
    </row>
    <row r="47" spans="3:11" ht="12">
      <c r="C47" s="135" t="s">
        <v>162</v>
      </c>
      <c r="F47" s="138"/>
      <c r="G47" s="138"/>
      <c r="H47" s="138"/>
      <c r="I47" s="138"/>
      <c r="J47" s="138"/>
      <c r="K47" s="138"/>
    </row>
    <row r="48" spans="3:11" ht="12">
      <c r="C48" s="135" t="s">
        <v>163</v>
      </c>
      <c r="F48" s="138">
        <f>'Detailed Plan'!B77/1000000</f>
        <v>-3.8</v>
      </c>
      <c r="G48" s="138">
        <f>'Detailed Plan'!C77/1000000</f>
        <v>-3.8</v>
      </c>
      <c r="H48" s="138">
        <f>'Detailed Plan'!D77/1000000</f>
        <v>-3.8</v>
      </c>
      <c r="I48" s="138">
        <f>'Detailed Plan'!E77/1000000</f>
        <v>-3.8</v>
      </c>
      <c r="J48" s="138">
        <f>'Detailed Plan'!H77/1000000</f>
        <v>-3.8</v>
      </c>
      <c r="K48" s="138">
        <f>'Detailed Plan'!I77/1000000</f>
        <v>-3.8</v>
      </c>
    </row>
    <row r="49" spans="3:11" ht="12">
      <c r="C49" s="135" t="s">
        <v>164</v>
      </c>
      <c r="F49" s="138">
        <f>'Detailed Plan'!B78/1000000</f>
        <v>-0.562</v>
      </c>
      <c r="G49" s="138">
        <f>'Detailed Plan'!C78/1000000</f>
        <v>-0.502386</v>
      </c>
      <c r="H49" s="138">
        <f>'Detailed Plan'!D78/1000000</f>
        <v>-0.007</v>
      </c>
      <c r="I49" s="138">
        <f>'Detailed Plan'!E78/1000000</f>
        <v>-0.007</v>
      </c>
      <c r="J49" s="138">
        <f>'Detailed Plan'!H78/1000000</f>
        <v>-0.007</v>
      </c>
      <c r="K49" s="138">
        <f>'Detailed Plan'!I78/1000000</f>
        <v>-0.007</v>
      </c>
    </row>
    <row r="50" spans="3:11" ht="12">
      <c r="C50" s="135" t="s">
        <v>226</v>
      </c>
      <c r="F50" s="138">
        <f>'Detailed Plan'!B79/1000000</f>
        <v>-0.065</v>
      </c>
      <c r="G50" s="138">
        <f>'Detailed Plan'!C79/1000000</f>
        <v>-0.066</v>
      </c>
      <c r="H50" s="138">
        <f>'Detailed Plan'!D79/1000000</f>
        <v>-0.065</v>
      </c>
      <c r="I50" s="138">
        <f>'Detailed Plan'!E79/1000000</f>
        <v>-0.065</v>
      </c>
      <c r="J50" s="138">
        <f>'Detailed Plan'!H79/1000000</f>
        <v>-0.065</v>
      </c>
      <c r="K50" s="138">
        <f>'Detailed Plan'!I79/1000000</f>
        <v>-0.065</v>
      </c>
    </row>
    <row r="51" spans="3:11" ht="12">
      <c r="C51" s="135" t="s">
        <v>165</v>
      </c>
      <c r="F51" s="138">
        <f>'Detailed Plan'!B80/1000000</f>
        <v>-0.78</v>
      </c>
      <c r="G51" s="138">
        <f>'Detailed Plan'!C80/1000000</f>
        <v>-0.147</v>
      </c>
      <c r="H51" s="138">
        <f>'Detailed Plan'!D80/1000000</f>
        <v>-0.18</v>
      </c>
      <c r="I51" s="138">
        <f>'Detailed Plan'!E80/1000000</f>
        <v>-0.18</v>
      </c>
      <c r="J51" s="138">
        <f>'Detailed Plan'!H80/1000000</f>
        <v>-0.18</v>
      </c>
      <c r="K51" s="138">
        <f>'Detailed Plan'!I80/1000000</f>
        <v>-0.18</v>
      </c>
    </row>
    <row r="52" spans="3:11" ht="12">
      <c r="C52" s="135" t="s">
        <v>166</v>
      </c>
      <c r="F52" s="138">
        <f>'Detailed Plan'!B81/1000000</f>
        <v>-0.095</v>
      </c>
      <c r="G52" s="138">
        <f>'Detailed Plan'!C81/1000000</f>
        <v>-0.195</v>
      </c>
      <c r="H52" s="138">
        <f>'Detailed Plan'!D81/1000000</f>
        <v>-0.095</v>
      </c>
      <c r="I52" s="138">
        <f>'Detailed Plan'!E81/1000000</f>
        <v>-0.095</v>
      </c>
      <c r="J52" s="138">
        <f>'Detailed Plan'!H81/1000000</f>
        <v>-0.095</v>
      </c>
      <c r="K52" s="138">
        <f>'Detailed Plan'!I81/1000000</f>
        <v>-0.095</v>
      </c>
    </row>
    <row r="53" spans="3:11" ht="12">
      <c r="C53" s="135" t="s">
        <v>167</v>
      </c>
      <c r="F53" s="138">
        <f>'Detailed Plan'!B82/1000000</f>
        <v>-0.105</v>
      </c>
      <c r="G53" s="138">
        <f>'Detailed Plan'!C82/1000000</f>
        <v>-0.093</v>
      </c>
      <c r="H53" s="138">
        <f>'Detailed Plan'!D82/1000000</f>
        <v>-0.105</v>
      </c>
      <c r="I53" s="138">
        <f>'Detailed Plan'!E82/1000000</f>
        <v>-0.105</v>
      </c>
      <c r="J53" s="138">
        <f>'Detailed Plan'!H82/1000000</f>
        <v>-0.105</v>
      </c>
      <c r="K53" s="138">
        <f>'Detailed Plan'!I82/1000000</f>
        <v>-0.105</v>
      </c>
    </row>
    <row r="54" spans="3:11" ht="12">
      <c r="C54" s="135" t="s">
        <v>168</v>
      </c>
      <c r="F54" s="138">
        <f>'Detailed Plan'!B83/1000000</f>
        <v>-0.292</v>
      </c>
      <c r="G54" s="138">
        <f>'Detailed Plan'!C83/1000000</f>
        <v>-0.292</v>
      </c>
      <c r="H54" s="138">
        <f>'Detailed Plan'!D83/1000000</f>
        <v>-0.292</v>
      </c>
      <c r="I54" s="138">
        <f>'Detailed Plan'!E83/1000000</f>
        <v>-0.292</v>
      </c>
      <c r="J54" s="138">
        <f>'Detailed Plan'!H83/1000000</f>
        <v>-0.292</v>
      </c>
      <c r="K54" s="138">
        <f>'Detailed Plan'!I83/1000000</f>
        <v>-0.292</v>
      </c>
    </row>
    <row r="55" spans="3:11" ht="12">
      <c r="C55" s="135" t="s">
        <v>169</v>
      </c>
      <c r="F55" s="138">
        <f>'Detailed Plan'!B84/1000000</f>
        <v>-0.025152</v>
      </c>
      <c r="G55" s="138">
        <f>'Detailed Plan'!C84/1000000</f>
        <v>-0.025152</v>
      </c>
      <c r="H55" s="138">
        <f>'Detailed Plan'!D84/1000000</f>
        <v>-0.025152</v>
      </c>
      <c r="I55" s="138">
        <f>'Detailed Plan'!E84/1000000</f>
        <v>-0.025152</v>
      </c>
      <c r="J55" s="138">
        <f>'Detailed Plan'!H84/1000000</f>
        <v>-0.025152</v>
      </c>
      <c r="K55" s="138">
        <f>'Detailed Plan'!I84/1000000</f>
        <v>-0.025152</v>
      </c>
    </row>
    <row r="56" spans="3:11" ht="12">
      <c r="C56" s="135" t="s">
        <v>170</v>
      </c>
      <c r="F56" s="138">
        <f>'Detailed Plan'!B92/1000000</f>
        <v>-1</v>
      </c>
      <c r="G56" s="138">
        <f>'Detailed Plan'!C92/1000000</f>
        <v>-3</v>
      </c>
      <c r="H56" s="138"/>
      <c r="I56" s="138">
        <f>'Detailed Plan'!E92/1000000</f>
        <v>-16.103974</v>
      </c>
      <c r="J56" s="138">
        <f>'Detailed Plan'!H92/1000000</f>
        <v>-13.093451022199998</v>
      </c>
      <c r="K56" s="138">
        <f>'Detailed Plan'!I92/1000000</f>
        <v>-13.564815258999198</v>
      </c>
    </row>
    <row r="57" spans="3:11" ht="12">
      <c r="C57" s="135" t="s">
        <v>171</v>
      </c>
      <c r="F57" s="138">
        <f>'Detailed Plan'!B93/1000000</f>
        <v>-1.4</v>
      </c>
      <c r="G57" s="138"/>
      <c r="H57" s="138"/>
      <c r="I57" s="138"/>
      <c r="J57" s="138"/>
      <c r="K57" s="138"/>
    </row>
    <row r="58" spans="3:11" ht="12">
      <c r="C58" s="135" t="s">
        <v>172</v>
      </c>
      <c r="F58" s="138">
        <f>'Detailed Plan'!B94/1000000</f>
        <v>-0.25</v>
      </c>
      <c r="G58" s="138"/>
      <c r="H58" s="138"/>
      <c r="I58" s="138"/>
      <c r="J58" s="138"/>
      <c r="K58" s="138"/>
    </row>
    <row r="59" spans="3:11" ht="12">
      <c r="C59" s="136" t="s">
        <v>173</v>
      </c>
      <c r="F59" s="138"/>
      <c r="G59" s="138"/>
      <c r="H59" s="138"/>
      <c r="I59" s="138">
        <f>'Detailed Plan'!E95/1000000</f>
        <v>-0.9</v>
      </c>
      <c r="J59" s="138">
        <f>'Detailed Plan'!H95/1000000</f>
        <v>-0.9</v>
      </c>
      <c r="K59" s="138">
        <f>'Detailed Plan'!I95/1000000</f>
        <v>-0.9</v>
      </c>
    </row>
    <row r="60" spans="3:11" ht="12">
      <c r="C60" s="136" t="s">
        <v>174</v>
      </c>
      <c r="F60" s="138">
        <f>'Detailed Plan'!B96/1000000</f>
        <v>-6</v>
      </c>
      <c r="G60" s="138"/>
      <c r="H60" s="138"/>
      <c r="I60" s="138"/>
      <c r="J60" s="138"/>
      <c r="K60" s="138"/>
    </row>
    <row r="61" spans="3:11" ht="12">
      <c r="C61" s="136" t="s">
        <v>121</v>
      </c>
      <c r="F61" s="138">
        <f>'Detailed Plan'!B97/1000000</f>
        <v>-2.23</v>
      </c>
      <c r="G61" s="138"/>
      <c r="H61" s="138"/>
      <c r="I61" s="138"/>
      <c r="J61" s="138"/>
      <c r="K61" s="138"/>
    </row>
    <row r="62" spans="3:11" ht="12">
      <c r="C62" s="136" t="s">
        <v>227</v>
      </c>
      <c r="F62" s="138">
        <f>'Detailed Plan'!B98/1000000</f>
        <v>-2.32</v>
      </c>
      <c r="G62" s="138">
        <f>'Detailed Plan'!C98/1000000</f>
        <v>-0.9</v>
      </c>
      <c r="H62" s="138"/>
      <c r="I62" s="138"/>
      <c r="J62" s="138"/>
      <c r="K62" s="138"/>
    </row>
    <row r="63" spans="3:11" ht="12">
      <c r="C63" s="136" t="s">
        <v>175</v>
      </c>
      <c r="F63" s="138">
        <f>'Detailed Plan'!B100/1000000</f>
        <v>-2</v>
      </c>
      <c r="G63" s="138"/>
      <c r="H63" s="138"/>
      <c r="I63" s="138"/>
      <c r="J63" s="138"/>
      <c r="K63" s="138"/>
    </row>
    <row r="64" spans="3:11" ht="12">
      <c r="C64" s="136" t="s">
        <v>176</v>
      </c>
      <c r="F64" s="138">
        <f>'Detailed Plan'!B101/1000000</f>
        <v>-5.592</v>
      </c>
      <c r="G64" s="138"/>
      <c r="H64" s="138"/>
      <c r="I64" s="138"/>
      <c r="J64" s="138"/>
      <c r="K64" s="138"/>
    </row>
    <row r="65" spans="3:11" ht="12">
      <c r="C65" s="136" t="s">
        <v>177</v>
      </c>
      <c r="F65" s="138"/>
      <c r="G65" s="138">
        <f>'Detailed Plan'!C102/1000000</f>
        <v>-2.511647</v>
      </c>
      <c r="H65" s="138">
        <f>'Detailed Plan'!D102/1000000</f>
        <v>-1.074172</v>
      </c>
      <c r="I65" s="138"/>
      <c r="J65" s="138"/>
      <c r="K65" s="138"/>
    </row>
    <row r="66" spans="3:11" ht="12">
      <c r="C66" s="136" t="s">
        <v>178</v>
      </c>
      <c r="F66" s="138"/>
      <c r="G66" s="138">
        <f>'Detailed Plan'!C103/1000000</f>
        <v>-0.359199</v>
      </c>
      <c r="H66" s="138">
        <f>'Detailed Plan'!D103/1000000</f>
        <v>-0.359199</v>
      </c>
      <c r="I66" s="138"/>
      <c r="J66" s="138"/>
      <c r="K66" s="138"/>
    </row>
    <row r="67" spans="3:11" ht="12">
      <c r="C67" s="136" t="s">
        <v>228</v>
      </c>
      <c r="F67" s="138"/>
      <c r="G67" s="138"/>
      <c r="H67" s="138"/>
      <c r="I67" s="138">
        <f>'Detailed Plan'!E104/1000000</f>
        <v>-1.5</v>
      </c>
      <c r="J67" s="138">
        <f>'Detailed Plan'!H104/1000000</f>
        <v>-1.5</v>
      </c>
      <c r="K67" s="138">
        <f>'Detailed Plan'!I104/1000000</f>
        <v>-1.5</v>
      </c>
    </row>
    <row r="68" spans="3:12" ht="12">
      <c r="C68" s="136" t="s">
        <v>229</v>
      </c>
      <c r="F68" s="139">
        <f>'Detailed Plan'!B106/1000000</f>
        <v>-9.45</v>
      </c>
      <c r="G68" s="139">
        <f>'Detailed Plan'!C106/1000000</f>
        <v>-24.675</v>
      </c>
      <c r="H68" s="139">
        <f>'Detailed Plan'!D106/1000000</f>
        <v>-19.877575</v>
      </c>
      <c r="I68" s="139"/>
      <c r="J68" s="139"/>
      <c r="K68" s="139"/>
      <c r="L68" s="135"/>
    </row>
    <row r="69" spans="3:12" ht="12">
      <c r="C69" s="135" t="s">
        <v>130</v>
      </c>
      <c r="F69" s="139">
        <f>'Detailed Plan'!B108/1000000</f>
        <v>-7.738</v>
      </c>
      <c r="G69" s="139">
        <f>'Detailed Plan'!C108/1000000</f>
        <v>-7.738</v>
      </c>
      <c r="H69" s="139">
        <f>'Detailed Plan'!D108/1000000</f>
        <v>-7.738</v>
      </c>
      <c r="I69" s="139">
        <f>'Detailed Plan'!E108/1000000</f>
        <v>-5.44468</v>
      </c>
      <c r="J69" s="139">
        <f>'Detailed Plan'!H108/1000000</f>
        <v>-2.72234</v>
      </c>
      <c r="K69" s="139"/>
      <c r="L69" s="136"/>
    </row>
    <row r="70" spans="3:12" ht="12">
      <c r="C70" s="92" t="s">
        <v>81</v>
      </c>
      <c r="F70" s="139">
        <f>'Detailed Plan'!B109/1000000</f>
        <v>-3.38341</v>
      </c>
      <c r="G70" s="139"/>
      <c r="H70" s="139"/>
      <c r="I70" s="139"/>
      <c r="J70" s="139"/>
      <c r="K70" s="139"/>
      <c r="L70" s="136"/>
    </row>
    <row r="71" spans="3:12" ht="12">
      <c r="C71" s="92" t="s">
        <v>82</v>
      </c>
      <c r="F71" s="139">
        <f>'Detailed Plan'!B110/1000000</f>
        <v>-6</v>
      </c>
      <c r="G71" s="139"/>
      <c r="H71" s="139"/>
      <c r="I71" s="139"/>
      <c r="J71" s="139"/>
      <c r="K71" s="139"/>
      <c r="L71" s="136"/>
    </row>
    <row r="72" spans="3:12" ht="12">
      <c r="C72" s="92" t="s">
        <v>83</v>
      </c>
      <c r="F72" s="139">
        <f>'Detailed Plan'!B111/1000000</f>
        <v>-1.5</v>
      </c>
      <c r="G72" s="139"/>
      <c r="H72" s="139"/>
      <c r="I72" s="139"/>
      <c r="J72" s="139"/>
      <c r="K72" s="139"/>
      <c r="L72" s="136"/>
    </row>
    <row r="73" spans="3:12" ht="12">
      <c r="C73" s="92" t="s">
        <v>84</v>
      </c>
      <c r="F73" s="140">
        <f>'Detailed Plan'!B112/1000000</f>
        <v>-1</v>
      </c>
      <c r="G73" s="140"/>
      <c r="H73" s="140"/>
      <c r="I73" s="140"/>
      <c r="J73" s="140"/>
      <c r="K73" s="140"/>
      <c r="L73" s="136"/>
    </row>
    <row r="74" spans="4:11" ht="12">
      <c r="D74" s="150" t="s">
        <v>179</v>
      </c>
      <c r="F74" s="184">
        <f aca="true" t="shared" si="0" ref="F74:K74">SUM(F47:F73)</f>
        <v>-55.58756199999999</v>
      </c>
      <c r="G74" s="184">
        <f t="shared" si="0"/>
        <v>-44.304384</v>
      </c>
      <c r="H74" s="184">
        <f t="shared" si="0"/>
        <v>-33.618098</v>
      </c>
      <c r="I74" s="184">
        <f t="shared" si="0"/>
        <v>-28.517806</v>
      </c>
      <c r="J74" s="184">
        <f t="shared" si="0"/>
        <v>-22.784943022199997</v>
      </c>
      <c r="K74" s="184">
        <f t="shared" si="0"/>
        <v>-20.533967258999198</v>
      </c>
    </row>
    <row r="76" spans="1:11" ht="12">
      <c r="A76" s="80" t="s">
        <v>159</v>
      </c>
      <c r="C76" s="80" t="s">
        <v>222</v>
      </c>
      <c r="F76" s="184"/>
      <c r="G76" s="184"/>
      <c r="H76" s="184"/>
      <c r="I76" s="184"/>
      <c r="J76" s="184"/>
      <c r="K76" s="184"/>
    </row>
    <row r="78" spans="3:8" ht="12">
      <c r="C78" s="80" t="s">
        <v>181</v>
      </c>
      <c r="H78" s="159">
        <f>'Detailed Plan'!C31+'Detailed Plan'!C32+'Detailed Plan'!C39+'Detailed Plan'!C43</f>
        <v>-631626353</v>
      </c>
    </row>
    <row r="79" spans="3:8" ht="12">
      <c r="C79" s="80" t="s">
        <v>260</v>
      </c>
      <c r="H79" s="159">
        <f>'Detailed Plan'!D31-'Detailed Plan'!C31</f>
        <v>-15054688</v>
      </c>
    </row>
    <row r="80" spans="3:8" ht="12">
      <c r="C80" s="80" t="s">
        <v>223</v>
      </c>
      <c r="H80" s="160">
        <f>'Detailed Plan'!D35+'Detailed Plan'!D36</f>
        <v>-4587557</v>
      </c>
    </row>
    <row r="81" spans="3:8" ht="12">
      <c r="C81" s="80" t="s">
        <v>182</v>
      </c>
      <c r="H81" s="161">
        <f>'Detailed Plan'!D50</f>
        <v>-2377311</v>
      </c>
    </row>
    <row r="82" spans="3:8" ht="12">
      <c r="C82" s="150" t="s">
        <v>183</v>
      </c>
      <c r="H82" s="151">
        <f>SUM(H78:H81)</f>
        <v>-653645909</v>
      </c>
    </row>
    <row r="84" spans="1:3" ht="12">
      <c r="A84" s="80" t="s">
        <v>180</v>
      </c>
      <c r="C84" s="80" t="s">
        <v>189</v>
      </c>
    </row>
    <row r="86" spans="3:8" ht="12">
      <c r="C86" s="80" t="s">
        <v>224</v>
      </c>
      <c r="H86" s="156">
        <v>-4534419</v>
      </c>
    </row>
    <row r="87" spans="3:8" ht="12">
      <c r="C87" s="80" t="s">
        <v>185</v>
      </c>
      <c r="H87" s="156">
        <v>-12068669</v>
      </c>
    </row>
    <row r="88" spans="3:8" ht="12">
      <c r="C88" s="80" t="s">
        <v>186</v>
      </c>
      <c r="H88" s="156">
        <v>-770051</v>
      </c>
    </row>
    <row r="89" spans="3:8" ht="12">
      <c r="C89" s="80" t="s">
        <v>187</v>
      </c>
      <c r="H89" s="158">
        <v>-1437475</v>
      </c>
    </row>
    <row r="90" spans="3:8" ht="12">
      <c r="C90" s="150" t="s">
        <v>183</v>
      </c>
      <c r="H90" s="157">
        <f>SUM(H86:H89)</f>
        <v>-18810614</v>
      </c>
    </row>
    <row r="92" spans="1:3" ht="12">
      <c r="A92" s="80" t="s">
        <v>184</v>
      </c>
      <c r="C92" s="80" t="s">
        <v>225</v>
      </c>
    </row>
    <row r="94" spans="3:8" ht="12">
      <c r="C94" s="80" t="s">
        <v>185</v>
      </c>
      <c r="H94" s="156">
        <v>-8558543</v>
      </c>
    </row>
    <row r="95" spans="3:8" ht="12">
      <c r="C95" s="80" t="s">
        <v>186</v>
      </c>
      <c r="H95" s="156">
        <v>-1676160</v>
      </c>
    </row>
    <row r="96" spans="3:8" ht="12">
      <c r="C96" s="80" t="s">
        <v>187</v>
      </c>
      <c r="H96" s="156">
        <v>-2422512</v>
      </c>
    </row>
    <row r="97" spans="3:8" ht="12">
      <c r="C97" s="80" t="s">
        <v>190</v>
      </c>
      <c r="H97" s="158">
        <v>-300000</v>
      </c>
    </row>
    <row r="98" spans="3:8" ht="12">
      <c r="C98" s="150" t="s">
        <v>183</v>
      </c>
      <c r="H98" s="157">
        <f>SUM(H93:H97)</f>
        <v>-12957215</v>
      </c>
    </row>
    <row r="100" spans="1:3" ht="12">
      <c r="A100" s="80" t="s">
        <v>188</v>
      </c>
      <c r="C100" s="80" t="s">
        <v>155</v>
      </c>
    </row>
    <row r="101" ht="12">
      <c r="C101" s="80" t="s">
        <v>261</v>
      </c>
    </row>
    <row r="102" ht="12">
      <c r="C102" s="80" t="s">
        <v>262</v>
      </c>
    </row>
    <row r="103" ht="12">
      <c r="C103" s="80" t="s">
        <v>214</v>
      </c>
    </row>
    <row r="104" ht="12">
      <c r="C104" s="80" t="s">
        <v>263</v>
      </c>
    </row>
    <row r="105" ht="12">
      <c r="C105" s="80" t="s">
        <v>264</v>
      </c>
    </row>
    <row r="106" ht="12">
      <c r="C106" s="80" t="s">
        <v>215</v>
      </c>
    </row>
    <row r="107" ht="12">
      <c r="C107" s="80" t="s">
        <v>265</v>
      </c>
    </row>
    <row r="109" spans="3:8" ht="12">
      <c r="C109" s="80" t="s">
        <v>192</v>
      </c>
      <c r="H109" s="80" t="s">
        <v>193</v>
      </c>
    </row>
    <row r="111" spans="3:8" ht="12">
      <c r="C111" s="80" t="s">
        <v>194</v>
      </c>
      <c r="H111" s="80" t="s">
        <v>106</v>
      </c>
    </row>
    <row r="112" spans="3:8" ht="12">
      <c r="C112" s="80" t="s">
        <v>195</v>
      </c>
      <c r="H112" s="80" t="s">
        <v>196</v>
      </c>
    </row>
    <row r="113" spans="3:8" ht="12">
      <c r="C113" s="80" t="s">
        <v>197</v>
      </c>
      <c r="H113" s="80" t="s">
        <v>198</v>
      </c>
    </row>
    <row r="114" spans="3:8" ht="12">
      <c r="C114" s="80" t="s">
        <v>199</v>
      </c>
      <c r="H114" s="80" t="s">
        <v>266</v>
      </c>
    </row>
    <row r="115" spans="3:8" ht="12">
      <c r="C115" s="80" t="s">
        <v>200</v>
      </c>
      <c r="H115" s="80" t="s">
        <v>201</v>
      </c>
    </row>
    <row r="116" spans="3:8" ht="12">
      <c r="C116" s="80" t="s">
        <v>202</v>
      </c>
      <c r="H116" s="80" t="s">
        <v>203</v>
      </c>
    </row>
    <row r="117" ht="12">
      <c r="C117" s="80" t="s">
        <v>204</v>
      </c>
    </row>
    <row r="118" ht="12">
      <c r="C118" s="80" t="s">
        <v>267</v>
      </c>
    </row>
    <row r="119" spans="12:21" ht="12"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ht="12">
      <c r="A120" s="80" t="s">
        <v>191</v>
      </c>
      <c r="C120" s="80" t="s">
        <v>268</v>
      </c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3:21" ht="12">
      <c r="C121" s="80" t="s">
        <v>269</v>
      </c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3:21" ht="12">
      <c r="C122" s="80" t="s">
        <v>270</v>
      </c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ht="12">
      <c r="C123" s="80" t="s">
        <v>271</v>
      </c>
    </row>
    <row r="124" spans="8:10" ht="12">
      <c r="H124" s="152">
        <v>2009</v>
      </c>
      <c r="I124" s="141">
        <f>H124+1</f>
        <v>2010</v>
      </c>
      <c r="J124" s="141">
        <f>I124+1</f>
        <v>2011</v>
      </c>
    </row>
    <row r="125" spans="3:12" ht="12">
      <c r="C125" s="80" t="s">
        <v>206</v>
      </c>
      <c r="H125" s="142" t="s">
        <v>207</v>
      </c>
      <c r="I125" s="162">
        <v>0.08807068303417265</v>
      </c>
      <c r="J125" s="162">
        <v>0.03609231629752041</v>
      </c>
      <c r="L125" s="82"/>
    </row>
    <row r="126" spans="3:10" ht="12">
      <c r="C126" s="80" t="s">
        <v>208</v>
      </c>
      <c r="H126" s="142" t="s">
        <v>207</v>
      </c>
      <c r="I126" s="185">
        <v>0.0787156874017847</v>
      </c>
      <c r="J126" s="185">
        <v>0.07957189560294875</v>
      </c>
    </row>
    <row r="127" spans="3:12" ht="12">
      <c r="C127" s="80" t="s">
        <v>209</v>
      </c>
      <c r="H127" s="142" t="s">
        <v>207</v>
      </c>
      <c r="I127" s="185">
        <v>0.05506497509477026</v>
      </c>
      <c r="J127" s="185">
        <v>0.045638174153177946</v>
      </c>
      <c r="L127" s="82"/>
    </row>
    <row r="128" spans="3:12" ht="12">
      <c r="C128" s="80" t="s">
        <v>210</v>
      </c>
      <c r="H128" s="142" t="s">
        <v>207</v>
      </c>
      <c r="I128" s="162">
        <v>0.07217638710045349</v>
      </c>
      <c r="J128" s="162">
        <v>0.013935099260109052</v>
      </c>
      <c r="L128" s="82"/>
    </row>
    <row r="129" ht="12">
      <c r="L129" s="82"/>
    </row>
    <row r="130" spans="1:12" ht="12">
      <c r="A130" s="80" t="s">
        <v>205</v>
      </c>
      <c r="C130" s="82" t="s">
        <v>272</v>
      </c>
      <c r="D130" s="82"/>
      <c r="E130" s="82"/>
      <c r="F130" s="82"/>
      <c r="G130" s="82"/>
      <c r="H130" s="82"/>
      <c r="I130" s="82"/>
      <c r="J130" s="82"/>
      <c r="L130" s="82"/>
    </row>
    <row r="131" spans="3:12" ht="12">
      <c r="C131" s="82" t="s">
        <v>273</v>
      </c>
      <c r="D131" s="82"/>
      <c r="E131" s="82"/>
      <c r="F131" s="82"/>
      <c r="G131" s="82"/>
      <c r="H131" s="82"/>
      <c r="I131" s="82"/>
      <c r="J131" s="82"/>
      <c r="L131" s="82"/>
    </row>
    <row r="132" spans="3:12" ht="12">
      <c r="C132" s="82" t="s">
        <v>274</v>
      </c>
      <c r="D132" s="82"/>
      <c r="E132" s="82"/>
      <c r="F132" s="82"/>
      <c r="G132" s="82"/>
      <c r="H132" s="82"/>
      <c r="I132" s="82"/>
      <c r="J132" s="82"/>
      <c r="L132" s="82"/>
    </row>
    <row r="133" spans="3:12" ht="12">
      <c r="C133" s="82" t="s">
        <v>275</v>
      </c>
      <c r="D133" s="82"/>
      <c r="E133" s="82"/>
      <c r="F133" s="82"/>
      <c r="G133" s="82"/>
      <c r="H133" s="82"/>
      <c r="I133" s="82"/>
      <c r="J133" s="82"/>
      <c r="L133" s="82"/>
    </row>
    <row r="134" spans="3:12" ht="12">
      <c r="C134" s="186" t="s">
        <v>276</v>
      </c>
      <c r="D134" s="82"/>
      <c r="E134" s="82"/>
      <c r="F134" s="82"/>
      <c r="G134" s="82"/>
      <c r="H134" s="82"/>
      <c r="I134" s="82"/>
      <c r="J134" s="82"/>
      <c r="L134" s="82"/>
    </row>
    <row r="135" spans="3:12" ht="12">
      <c r="C135" s="186" t="s">
        <v>277</v>
      </c>
      <c r="D135" s="82"/>
      <c r="E135" s="82"/>
      <c r="F135" s="82"/>
      <c r="G135" s="82"/>
      <c r="H135" s="82"/>
      <c r="I135" s="82"/>
      <c r="J135" s="82"/>
      <c r="L135" s="82"/>
    </row>
    <row r="136" spans="3:12" ht="12">
      <c r="C136" s="186" t="s">
        <v>278</v>
      </c>
      <c r="D136" s="82"/>
      <c r="E136" s="82"/>
      <c r="F136" s="82"/>
      <c r="G136" s="82"/>
      <c r="H136" s="82"/>
      <c r="I136" s="82"/>
      <c r="J136" s="82"/>
      <c r="L136" s="82"/>
    </row>
    <row r="137" spans="3:12" ht="12">
      <c r="C137" s="82" t="s">
        <v>279</v>
      </c>
      <c r="D137" s="82"/>
      <c r="E137" s="82"/>
      <c r="F137" s="82"/>
      <c r="G137" s="82"/>
      <c r="H137" s="82"/>
      <c r="I137" s="82"/>
      <c r="J137" s="82"/>
      <c r="L137" s="82"/>
    </row>
    <row r="138" spans="3:12" ht="12">
      <c r="C138" s="82" t="s">
        <v>280</v>
      </c>
      <c r="D138" s="82"/>
      <c r="E138" s="82"/>
      <c r="F138" s="82"/>
      <c r="G138" s="82"/>
      <c r="H138" s="82"/>
      <c r="I138" s="82"/>
      <c r="J138" s="82"/>
      <c r="L138" s="82"/>
    </row>
    <row r="139" spans="3:12" ht="12">
      <c r="C139" s="82" t="s">
        <v>281</v>
      </c>
      <c r="D139" s="82"/>
      <c r="E139" s="82"/>
      <c r="F139" s="82"/>
      <c r="G139" s="82"/>
      <c r="H139" s="82"/>
      <c r="I139" s="82"/>
      <c r="J139" s="82"/>
      <c r="L139" s="82"/>
    </row>
    <row r="140" spans="8:10" ht="12">
      <c r="H140" s="152">
        <v>2009</v>
      </c>
      <c r="I140" s="141">
        <f>H140+1</f>
        <v>2010</v>
      </c>
      <c r="J140" s="141">
        <f>I140+1</f>
        <v>2011</v>
      </c>
    </row>
    <row r="141" spans="3:13" ht="12">
      <c r="C141" s="80" t="s">
        <v>134</v>
      </c>
      <c r="H141" s="142" t="s">
        <v>207</v>
      </c>
      <c r="I141" s="153">
        <f>'Detailed Plan'!H56/1000000</f>
        <v>16.042030846600003</v>
      </c>
      <c r="J141" s="153">
        <f>'Detailed Plan'!I56/1000000</f>
        <v>31.551532760464006</v>
      </c>
      <c r="L141" s="153"/>
      <c r="M141" s="153"/>
    </row>
    <row r="142" spans="3:13" ht="12">
      <c r="C142" s="80" t="s">
        <v>135</v>
      </c>
      <c r="H142" s="142" t="s">
        <v>207</v>
      </c>
      <c r="I142" s="153">
        <f>'Detailed Plan'!H57/1000000</f>
        <v>12.182496483000003</v>
      </c>
      <c r="J142" s="153">
        <f>'Detailed Plan'!I57/1000000</f>
        <v>17.742229942320005</v>
      </c>
      <c r="L142" s="153"/>
      <c r="M142" s="153"/>
    </row>
    <row r="143" spans="3:13" ht="12">
      <c r="C143" s="80" t="s">
        <v>282</v>
      </c>
      <c r="H143" s="142" t="s">
        <v>207</v>
      </c>
      <c r="I143" s="153">
        <f>'Detailed Plan'!H58/1000000</f>
        <v>10.8</v>
      </c>
      <c r="J143" s="153">
        <f>'Detailed Plan'!I58/1000000</f>
        <v>11.1</v>
      </c>
      <c r="L143" s="153"/>
      <c r="M143" s="153"/>
    </row>
    <row r="145" spans="1:3" ht="12">
      <c r="A145" s="80" t="s">
        <v>286</v>
      </c>
      <c r="C145" s="80" t="s">
        <v>303</v>
      </c>
    </row>
    <row r="146" ht="12">
      <c r="C146" s="80" t="s">
        <v>302</v>
      </c>
    </row>
    <row r="147" ht="12">
      <c r="C147" s="80" t="s">
        <v>301</v>
      </c>
    </row>
    <row r="148" ht="12">
      <c r="C148" s="80" t="s">
        <v>287</v>
      </c>
    </row>
    <row r="149" spans="8:10" ht="12">
      <c r="H149" s="152">
        <v>2009</v>
      </c>
      <c r="I149" s="141">
        <f>H149+1</f>
        <v>2010</v>
      </c>
      <c r="J149" s="141">
        <f>I149+1</f>
        <v>2011</v>
      </c>
    </row>
    <row r="150" spans="3:10" ht="12">
      <c r="C150" s="80" t="s">
        <v>296</v>
      </c>
      <c r="H150" s="199">
        <f>-('Detailed Plan'!E51)/1000000</f>
        <v>13.097494</v>
      </c>
      <c r="I150" s="199"/>
      <c r="J150" s="199"/>
    </row>
    <row r="151" spans="3:10" ht="12">
      <c r="C151" s="80" t="s">
        <v>297</v>
      </c>
      <c r="H151" s="199">
        <f>-'Detailed Plan'!E52/1000000</f>
        <v>-8.731037</v>
      </c>
      <c r="I151" s="199"/>
      <c r="J151" s="199"/>
    </row>
    <row r="152" spans="3:10" ht="12">
      <c r="C152" s="80" t="s">
        <v>298</v>
      </c>
      <c r="H152" s="200">
        <f>-'Detailed Plan'!E53/1000000</f>
        <v>-1.730352</v>
      </c>
      <c r="I152" s="200">
        <f>-'Detailed Plan'!H53/1000000</f>
        <v>-1.77259</v>
      </c>
      <c r="J152" s="200">
        <f>-'Detailed Plan'!I53/1000000</f>
        <v>-1.8364032399999999</v>
      </c>
    </row>
    <row r="153" spans="3:10" ht="12">
      <c r="C153" s="201" t="s">
        <v>183</v>
      </c>
      <c r="H153" s="199">
        <f>SUM(H150:H152)</f>
        <v>2.636104999999999</v>
      </c>
      <c r="I153" s="199">
        <f>SUM(I150:I152)</f>
        <v>-1.77259</v>
      </c>
      <c r="J153" s="199">
        <f>SUM(J150:J152)</f>
        <v>-1.8364032399999999</v>
      </c>
    </row>
    <row r="155" spans="1:3" ht="12">
      <c r="A155" s="80" t="s">
        <v>289</v>
      </c>
      <c r="C155" s="80" t="s">
        <v>304</v>
      </c>
    </row>
    <row r="156" ht="12">
      <c r="C156" s="80" t="s">
        <v>305</v>
      </c>
    </row>
    <row r="157" ht="12">
      <c r="C157" s="80" t="s">
        <v>307</v>
      </c>
    </row>
    <row r="158" ht="12">
      <c r="C158" s="80" t="s">
        <v>306</v>
      </c>
    </row>
    <row r="159" ht="12">
      <c r="C159" s="80" t="s">
        <v>299</v>
      </c>
    </row>
    <row r="160" ht="12">
      <c r="C160" s="80" t="s">
        <v>300</v>
      </c>
    </row>
    <row r="161" ht="12">
      <c r="C161" s="80" t="s">
        <v>290</v>
      </c>
    </row>
    <row r="163" spans="1:3" ht="12">
      <c r="A163" s="80" t="s">
        <v>291</v>
      </c>
      <c r="C163" s="80" t="s">
        <v>0</v>
      </c>
    </row>
    <row r="164" ht="12">
      <c r="C164" s="80" t="s">
        <v>1</v>
      </c>
    </row>
    <row r="165" ht="12">
      <c r="C165" s="80" t="s">
        <v>2</v>
      </c>
    </row>
    <row r="166" ht="12">
      <c r="C166" s="80" t="s">
        <v>3</v>
      </c>
    </row>
    <row r="167" ht="12">
      <c r="C167" s="80" t="s">
        <v>4</v>
      </c>
    </row>
    <row r="168" ht="12">
      <c r="C168" s="80" t="s">
        <v>5</v>
      </c>
    </row>
    <row r="169" ht="12">
      <c r="C169" s="80" t="s">
        <v>6</v>
      </c>
    </row>
    <row r="170" ht="12">
      <c r="C170" s="80" t="s">
        <v>7</v>
      </c>
    </row>
    <row r="171" ht="12">
      <c r="C171" s="80" t="s">
        <v>8</v>
      </c>
    </row>
    <row r="172" ht="12">
      <c r="C172" s="80" t="s">
        <v>9</v>
      </c>
    </row>
    <row r="173" ht="12">
      <c r="C173" s="80" t="s">
        <v>10</v>
      </c>
    </row>
  </sheetData>
  <printOptions/>
  <pageMargins left="0.75" right="0.75" top="0.9" bottom="0.71" header="0.5" footer="0.5"/>
  <pageSetup fitToHeight="4" fitToWidth="1" horizontalDpi="600" verticalDpi="600" orientation="portrait" scale="91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view="pageBreakPreview" zoomScaleSheetLayoutView="10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9" sqref="E119"/>
    </sheetView>
  </sheetViews>
  <sheetFormatPr defaultColWidth="9.140625" defaultRowHeight="12.75"/>
  <cols>
    <col min="1" max="1" width="42.7109375" style="1" customWidth="1"/>
    <col min="2" max="2" width="15.7109375" style="83" customWidth="1"/>
    <col min="3" max="4" width="12.421875" style="15" customWidth="1"/>
    <col min="5" max="5" width="12.421875" style="72" customWidth="1"/>
    <col min="6" max="6" width="12.421875" style="217" customWidth="1"/>
    <col min="7" max="7" width="12.421875" style="72" customWidth="1"/>
    <col min="8" max="8" width="12.421875" style="15" customWidth="1"/>
    <col min="9" max="9" width="12.421875" style="1" customWidth="1"/>
    <col min="10" max="10" width="15.8515625" style="1" customWidth="1"/>
    <col min="11" max="16384" width="9.140625" style="1" customWidth="1"/>
  </cols>
  <sheetData>
    <row r="1" spans="1:9" ht="15">
      <c r="A1" s="100" t="s">
        <v>315</v>
      </c>
      <c r="B1" s="112"/>
      <c r="C1" s="100"/>
      <c r="D1" s="100"/>
      <c r="E1" s="100"/>
      <c r="F1" s="202"/>
      <c r="G1" s="100"/>
      <c r="H1" s="100"/>
      <c r="I1" s="100"/>
    </row>
    <row r="2" spans="2:9" ht="41.25" customHeight="1">
      <c r="B2" s="16" t="s">
        <v>125</v>
      </c>
      <c r="C2" s="17" t="s">
        <v>127</v>
      </c>
      <c r="D2" s="18" t="s">
        <v>137</v>
      </c>
      <c r="E2" s="18" t="s">
        <v>314</v>
      </c>
      <c r="F2" s="203" t="s">
        <v>308</v>
      </c>
      <c r="G2" s="18" t="s">
        <v>309</v>
      </c>
      <c r="H2" s="19" t="s">
        <v>97</v>
      </c>
      <c r="I2" s="18" t="s">
        <v>100</v>
      </c>
    </row>
    <row r="3" spans="1:9" ht="12.75">
      <c r="A3" s="2" t="s">
        <v>18</v>
      </c>
      <c r="B3" s="20">
        <v>143764572.95999992</v>
      </c>
      <c r="C3" s="21">
        <v>113095534.05837941</v>
      </c>
      <c r="D3" s="20">
        <v>140648438.92999995</v>
      </c>
      <c r="E3" s="20">
        <v>69191555.4749999</v>
      </c>
      <c r="F3" s="204">
        <v>69191555.4749999</v>
      </c>
      <c r="G3" s="20">
        <f>F3-E3</f>
        <v>0</v>
      </c>
      <c r="H3" s="22">
        <f>F67</f>
        <v>82956844.31659985</v>
      </c>
      <c r="I3" s="22">
        <f>H67</f>
        <v>87569380.73575652</v>
      </c>
    </row>
    <row r="4" spans="1:8" ht="12.75">
      <c r="A4" s="3"/>
      <c r="B4" s="113"/>
      <c r="C4" s="25"/>
      <c r="D4" s="24"/>
      <c r="E4" s="24"/>
      <c r="F4" s="205"/>
      <c r="G4" s="24"/>
      <c r="H4" s="26"/>
    </row>
    <row r="5" spans="1:9" ht="12.75">
      <c r="A5" s="2" t="s">
        <v>19</v>
      </c>
      <c r="B5" s="114"/>
      <c r="C5" s="27"/>
      <c r="D5" s="23"/>
      <c r="E5" s="23"/>
      <c r="F5" s="206"/>
      <c r="G5" s="23"/>
      <c r="H5" s="28"/>
      <c r="I5" s="68"/>
    </row>
    <row r="6" spans="1:9" ht="12.75">
      <c r="A6" s="4" t="s">
        <v>20</v>
      </c>
      <c r="B6" s="115">
        <v>264768058</v>
      </c>
      <c r="C6" s="25">
        <v>274184484</v>
      </c>
      <c r="D6" s="24">
        <v>272831373</v>
      </c>
      <c r="E6" s="24">
        <v>282222052</v>
      </c>
      <c r="F6" s="205">
        <v>282222052</v>
      </c>
      <c r="G6" s="24">
        <f>F6-E6</f>
        <v>0</v>
      </c>
      <c r="H6" s="26">
        <v>287928738</v>
      </c>
      <c r="I6" s="70">
        <v>294032158</v>
      </c>
    </row>
    <row r="7" spans="1:9" ht="12.75">
      <c r="A7" s="4" t="s">
        <v>21</v>
      </c>
      <c r="B7" s="115">
        <v>-18446505</v>
      </c>
      <c r="C7" s="25">
        <v>-17974021</v>
      </c>
      <c r="D7" s="24">
        <v>-17981392</v>
      </c>
      <c r="E7" s="24">
        <v>-21809903</v>
      </c>
      <c r="F7" s="205">
        <v>-21809903</v>
      </c>
      <c r="G7" s="24">
        <f aca="true" t="shared" si="0" ref="G7:G17">F7-E7</f>
        <v>0</v>
      </c>
      <c r="H7" s="104">
        <v>-22555446.4168269</v>
      </c>
      <c r="I7" s="105">
        <v>-22751270.5563239</v>
      </c>
    </row>
    <row r="8" spans="1:9" ht="12.75">
      <c r="A8" s="4" t="s">
        <v>22</v>
      </c>
      <c r="B8" s="113">
        <v>83089019</v>
      </c>
      <c r="C8" s="25">
        <v>85425758</v>
      </c>
      <c r="D8" s="24">
        <v>79590932</v>
      </c>
      <c r="E8" s="24">
        <v>80373000</v>
      </c>
      <c r="F8" s="205">
        <v>80373000</v>
      </c>
      <c r="G8" s="24">
        <f t="shared" si="0"/>
        <v>0</v>
      </c>
      <c r="H8" s="26">
        <v>82704000</v>
      </c>
      <c r="I8" s="70">
        <v>85930000</v>
      </c>
    </row>
    <row r="9" spans="1:10" ht="12.75">
      <c r="A9" s="4" t="s">
        <v>99</v>
      </c>
      <c r="B9" s="115"/>
      <c r="C9" s="25"/>
      <c r="D9" s="24">
        <v>4640068</v>
      </c>
      <c r="E9" s="24"/>
      <c r="F9" s="205"/>
      <c r="G9" s="24">
        <f t="shared" si="0"/>
        <v>0</v>
      </c>
      <c r="H9" s="26"/>
      <c r="I9" s="70"/>
      <c r="J9" s="70"/>
    </row>
    <row r="10" spans="1:9" ht="12.75">
      <c r="A10" s="4" t="s">
        <v>23</v>
      </c>
      <c r="B10" s="115">
        <v>20798490</v>
      </c>
      <c r="C10" s="25">
        <v>19516494</v>
      </c>
      <c r="D10" s="24">
        <v>18557858</v>
      </c>
      <c r="E10" s="24">
        <v>18118858</v>
      </c>
      <c r="F10" s="205">
        <v>18118858</v>
      </c>
      <c r="G10" s="24">
        <f t="shared" si="0"/>
        <v>0</v>
      </c>
      <c r="H10" s="26">
        <v>18483815.16</v>
      </c>
      <c r="I10" s="70">
        <v>19172831.4632</v>
      </c>
    </row>
    <row r="11" spans="1:9" ht="12.75">
      <c r="A11" s="4" t="s">
        <v>24</v>
      </c>
      <c r="B11" s="115">
        <v>18323085</v>
      </c>
      <c r="C11" s="25">
        <v>22312662</v>
      </c>
      <c r="D11" s="24">
        <v>12382500</v>
      </c>
      <c r="E11" s="24">
        <v>8282500</v>
      </c>
      <c r="F11" s="205">
        <v>8282500</v>
      </c>
      <c r="G11" s="24">
        <f t="shared" si="0"/>
        <v>0</v>
      </c>
      <c r="H11" s="26">
        <v>8375000</v>
      </c>
      <c r="I11" s="70">
        <v>8761000</v>
      </c>
    </row>
    <row r="12" spans="1:9" ht="12.75">
      <c r="A12" s="4" t="s">
        <v>98</v>
      </c>
      <c r="B12" s="113">
        <v>-4042985</v>
      </c>
      <c r="C12" s="25"/>
      <c r="D12" s="24">
        <v>-685362</v>
      </c>
      <c r="E12" s="24"/>
      <c r="F12" s="205"/>
      <c r="G12" s="24">
        <f t="shared" si="0"/>
        <v>0</v>
      </c>
      <c r="H12" s="26"/>
      <c r="I12" s="70"/>
    </row>
    <row r="13" spans="1:9" ht="12.75">
      <c r="A13" s="5" t="s">
        <v>25</v>
      </c>
      <c r="B13" s="113">
        <v>176145778</v>
      </c>
      <c r="C13" s="25">
        <v>168059985</v>
      </c>
      <c r="D13" s="24">
        <v>165310736</v>
      </c>
      <c r="E13" s="24">
        <f>169416400</f>
        <v>169416400</v>
      </c>
      <c r="F13" s="205">
        <f>169416400+2000000+300000-222750</f>
        <v>171493650</v>
      </c>
      <c r="G13" s="24">
        <f t="shared" si="0"/>
        <v>2077250</v>
      </c>
      <c r="H13" s="26">
        <v>166223475.23000002</v>
      </c>
      <c r="I13" s="70">
        <v>174831414.7346</v>
      </c>
    </row>
    <row r="14" spans="1:9" ht="12.75">
      <c r="A14" s="5" t="s">
        <v>26</v>
      </c>
      <c r="B14" s="113">
        <v>64259142</v>
      </c>
      <c r="C14" s="25">
        <v>67158311</v>
      </c>
      <c r="D14" s="24">
        <v>66475641</v>
      </c>
      <c r="E14" s="24">
        <v>78095679</v>
      </c>
      <c r="F14" s="205">
        <v>78095679</v>
      </c>
      <c r="G14" s="24">
        <f t="shared" si="0"/>
        <v>0</v>
      </c>
      <c r="H14" s="26">
        <v>79657592.58</v>
      </c>
      <c r="I14" s="70">
        <v>73831608.1716</v>
      </c>
    </row>
    <row r="15" spans="1:9" ht="12.75">
      <c r="A15" s="5" t="s">
        <v>27</v>
      </c>
      <c r="B15" s="113">
        <v>15456231</v>
      </c>
      <c r="C15" s="25">
        <v>17024991</v>
      </c>
      <c r="D15" s="24">
        <v>17499385</v>
      </c>
      <c r="E15" s="24">
        <v>23437280</v>
      </c>
      <c r="F15" s="205">
        <v>23437280</v>
      </c>
      <c r="G15" s="24">
        <f t="shared" si="0"/>
        <v>0</v>
      </c>
      <c r="H15" s="26">
        <v>23906025.6</v>
      </c>
      <c r="I15" s="70">
        <v>24384146.112000003</v>
      </c>
    </row>
    <row r="16" spans="1:9" ht="12.75">
      <c r="A16" s="6" t="s">
        <v>28</v>
      </c>
      <c r="B16" s="106"/>
      <c r="C16" s="25"/>
      <c r="D16" s="24">
        <v>2818473</v>
      </c>
      <c r="E16" s="24">
        <v>-214794</v>
      </c>
      <c r="F16" s="205">
        <v>-214794</v>
      </c>
      <c r="G16" s="24">
        <f t="shared" si="0"/>
        <v>0</v>
      </c>
      <c r="H16" s="26"/>
      <c r="I16" s="70"/>
    </row>
    <row r="17" spans="1:9" ht="12.75">
      <c r="A17" s="86" t="s">
        <v>29</v>
      </c>
      <c r="B17" s="106"/>
      <c r="C17" s="25">
        <v>10000000</v>
      </c>
      <c r="D17" s="29"/>
      <c r="E17" s="24">
        <v>0</v>
      </c>
      <c r="F17" s="205">
        <v>0</v>
      </c>
      <c r="G17" s="24">
        <f t="shared" si="0"/>
        <v>0</v>
      </c>
      <c r="H17" s="30">
        <v>10000000</v>
      </c>
      <c r="I17" s="70"/>
    </row>
    <row r="18" spans="1:9" ht="12.75">
      <c r="A18" s="2" t="s">
        <v>30</v>
      </c>
      <c r="B18" s="31">
        <v>620350313</v>
      </c>
      <c r="C18" s="32">
        <v>645708664</v>
      </c>
      <c r="D18" s="31">
        <v>621440212</v>
      </c>
      <c r="E18" s="31">
        <v>637921072</v>
      </c>
      <c r="F18" s="207">
        <f>SUM(F6:F17)</f>
        <v>639998322</v>
      </c>
      <c r="G18" s="31">
        <f>F18-E18</f>
        <v>2077250</v>
      </c>
      <c r="H18" s="207">
        <f>SUM(H6:H17)</f>
        <v>654723200.1531732</v>
      </c>
      <c r="I18" s="207">
        <f>SUM(I6:I17)</f>
        <v>658191887.9250761</v>
      </c>
    </row>
    <row r="19" spans="1:8" ht="12.75">
      <c r="A19" s="6"/>
      <c r="B19" s="106"/>
      <c r="C19" s="33"/>
      <c r="D19" s="29"/>
      <c r="E19" s="29"/>
      <c r="F19" s="208"/>
      <c r="G19" s="29"/>
      <c r="H19" s="30"/>
    </row>
    <row r="20" spans="1:9" ht="12.75">
      <c r="A20" s="6" t="s">
        <v>31</v>
      </c>
      <c r="B20" s="116">
        <v>1117165.26</v>
      </c>
      <c r="C20" s="34">
        <v>905400</v>
      </c>
      <c r="D20" s="35">
        <v>975400</v>
      </c>
      <c r="E20" s="24">
        <v>905400</v>
      </c>
      <c r="F20" s="205">
        <v>905400</v>
      </c>
      <c r="G20" s="24">
        <f>F20-E20</f>
        <v>0</v>
      </c>
      <c r="H20" s="36">
        <v>905400</v>
      </c>
      <c r="I20" s="35">
        <v>905400</v>
      </c>
    </row>
    <row r="21" spans="1:8" ht="12.75">
      <c r="A21" s="4" t="s">
        <v>32</v>
      </c>
      <c r="B21" s="113">
        <v>24109871.27</v>
      </c>
      <c r="C21" s="25">
        <v>21118719</v>
      </c>
      <c r="D21" s="24"/>
      <c r="E21" s="24"/>
      <c r="F21" s="205"/>
      <c r="G21" s="24"/>
      <c r="H21" s="26"/>
    </row>
    <row r="22" spans="1:8" ht="12.75">
      <c r="A22" s="4" t="s">
        <v>33</v>
      </c>
      <c r="B22" s="117">
        <v>5439948.03</v>
      </c>
      <c r="C22" s="37">
        <v>5599242.759295897</v>
      </c>
      <c r="D22" s="38"/>
      <c r="E22" s="40"/>
      <c r="F22" s="209"/>
      <c r="G22" s="40"/>
      <c r="H22" s="39"/>
    </row>
    <row r="23" spans="1:8" ht="12.75">
      <c r="A23" s="4" t="s">
        <v>34</v>
      </c>
      <c r="B23" s="113">
        <v>-18080133</v>
      </c>
      <c r="C23" s="25">
        <v>-15054688</v>
      </c>
      <c r="D23" s="24"/>
      <c r="E23" s="24"/>
      <c r="F23" s="205"/>
      <c r="G23" s="24"/>
      <c r="H23" s="26"/>
    </row>
    <row r="24" spans="1:9" ht="12.75">
      <c r="A24" s="2" t="s">
        <v>35</v>
      </c>
      <c r="B24" s="20">
        <v>632937164.56</v>
      </c>
      <c r="C24" s="21">
        <v>658277337.759296</v>
      </c>
      <c r="D24" s="20">
        <v>622415612</v>
      </c>
      <c r="E24" s="20">
        <v>638826472</v>
      </c>
      <c r="F24" s="204">
        <f>SUM(F18:F23)</f>
        <v>640903722</v>
      </c>
      <c r="G24" s="20">
        <f>F24-E24</f>
        <v>2077250</v>
      </c>
      <c r="H24" s="204">
        <f>SUM(H18:H23)</f>
        <v>655628600.1531732</v>
      </c>
      <c r="I24" s="204">
        <f>SUM(I18:I23)</f>
        <v>659097287.9250761</v>
      </c>
    </row>
    <row r="25" spans="1:8" ht="12.75">
      <c r="A25" s="7"/>
      <c r="B25" s="113"/>
      <c r="C25" s="25"/>
      <c r="D25" s="24"/>
      <c r="E25" s="24"/>
      <c r="F25" s="205"/>
      <c r="G25" s="24"/>
      <c r="H25" s="26"/>
    </row>
    <row r="26" spans="1:9" ht="12.75">
      <c r="A26" s="2" t="s">
        <v>36</v>
      </c>
      <c r="B26" s="114"/>
      <c r="C26" s="27"/>
      <c r="D26" s="23"/>
      <c r="E26" s="23"/>
      <c r="F26" s="206"/>
      <c r="G26" s="23"/>
      <c r="H26" s="28"/>
      <c r="I26" s="68"/>
    </row>
    <row r="27" spans="1:9" ht="12.75">
      <c r="A27" s="8" t="s">
        <v>37</v>
      </c>
      <c r="B27" s="113">
        <v>-629075355.16</v>
      </c>
      <c r="C27" s="37">
        <v>-658749710</v>
      </c>
      <c r="D27" s="38">
        <v>-658749710</v>
      </c>
      <c r="E27" s="29">
        <v>-643204188</v>
      </c>
      <c r="F27" s="208">
        <v>-643204188</v>
      </c>
      <c r="G27" s="24">
        <f aca="true" t="shared" si="1" ref="G27:G46">F27-E27</f>
        <v>0</v>
      </c>
      <c r="H27" s="29">
        <v>-691318590.8197083</v>
      </c>
      <c r="I27" s="29">
        <v>-722121303.4846773</v>
      </c>
    </row>
    <row r="28" spans="1:9" ht="12.75">
      <c r="A28" s="4" t="s">
        <v>38</v>
      </c>
      <c r="B28" s="113">
        <v>18080133</v>
      </c>
      <c r="C28" s="25">
        <v>15054688</v>
      </c>
      <c r="D28" s="24"/>
      <c r="E28" s="29"/>
      <c r="F28" s="208"/>
      <c r="G28" s="24">
        <f t="shared" si="1"/>
        <v>0</v>
      </c>
      <c r="H28" s="26"/>
      <c r="I28" s="24"/>
    </row>
    <row r="29" spans="1:9" ht="12.75">
      <c r="A29" s="8" t="s">
        <v>39</v>
      </c>
      <c r="B29" s="102">
        <v>-610995222.16</v>
      </c>
      <c r="C29" s="43">
        <v>-643695022</v>
      </c>
      <c r="D29" s="42">
        <v>-658749710</v>
      </c>
      <c r="E29" s="42">
        <f>-643204188</f>
        <v>-643204188</v>
      </c>
      <c r="F29" s="210">
        <f>-643204188+16685737</f>
        <v>-626518451</v>
      </c>
      <c r="G29" s="24">
        <f t="shared" si="1"/>
        <v>16685737</v>
      </c>
      <c r="H29" s="44">
        <v>-691318590.8197083</v>
      </c>
      <c r="I29" s="42">
        <v>-722121303.4846773</v>
      </c>
    </row>
    <row r="30" spans="1:9" ht="12.75">
      <c r="A30" s="4"/>
      <c r="B30" s="113"/>
      <c r="C30" s="25"/>
      <c r="D30" s="24"/>
      <c r="E30" s="24"/>
      <c r="F30" s="205"/>
      <c r="G30" s="24">
        <f t="shared" si="1"/>
        <v>0</v>
      </c>
      <c r="H30" s="26"/>
      <c r="I30" s="15"/>
    </row>
    <row r="31" spans="1:9" ht="12.75">
      <c r="A31" s="4" t="s">
        <v>40</v>
      </c>
      <c r="B31" s="118">
        <v>-573768426.66</v>
      </c>
      <c r="C31" s="69">
        <v>-610374716</v>
      </c>
      <c r="D31" s="29">
        <v>-625429404</v>
      </c>
      <c r="E31" s="42">
        <v>-618910181</v>
      </c>
      <c r="F31" s="210">
        <f>-618910181+16685737</f>
        <v>-602224444</v>
      </c>
      <c r="G31" s="24">
        <f t="shared" si="1"/>
        <v>16685737</v>
      </c>
      <c r="H31" s="42">
        <v>-678104519.4133084</v>
      </c>
      <c r="I31" s="42">
        <v>-709334019.3664213</v>
      </c>
    </row>
    <row r="32" spans="1:9" ht="12.75">
      <c r="A32" s="4" t="s">
        <v>41</v>
      </c>
      <c r="B32" s="106">
        <v>-17595040.5</v>
      </c>
      <c r="C32" s="33">
        <v>-19208637</v>
      </c>
      <c r="D32" s="29">
        <v>-19208637</v>
      </c>
      <c r="E32" s="24">
        <v>-19820763</v>
      </c>
      <c r="F32" s="205">
        <v>-19820763</v>
      </c>
      <c r="G32" s="24">
        <f t="shared" si="1"/>
        <v>0</v>
      </c>
      <c r="H32" s="24">
        <v>-20760267.166200005</v>
      </c>
      <c r="I32" s="24">
        <v>-21590677.85284801</v>
      </c>
    </row>
    <row r="33" spans="1:9" ht="12.75">
      <c r="A33" s="4" t="s">
        <v>122</v>
      </c>
      <c r="B33" s="113">
        <v>-17588755</v>
      </c>
      <c r="C33" s="25">
        <v>-12068669</v>
      </c>
      <c r="D33" s="24">
        <v>-18040563</v>
      </c>
      <c r="E33" s="42">
        <v>-12957215</v>
      </c>
      <c r="F33" s="210">
        <v>-9796193</v>
      </c>
      <c r="G33" s="24">
        <f t="shared" si="1"/>
        <v>3161022</v>
      </c>
      <c r="H33" s="42">
        <v>-13557166.991</v>
      </c>
      <c r="I33" s="42">
        <v>-13787453.670640001</v>
      </c>
    </row>
    <row r="34" spans="1:8" ht="12.75">
      <c r="A34" s="4"/>
      <c r="B34" s="113"/>
      <c r="C34" s="25"/>
      <c r="D34" s="24"/>
      <c r="E34" s="24"/>
      <c r="F34" s="205"/>
      <c r="G34" s="24">
        <f t="shared" si="1"/>
        <v>0</v>
      </c>
      <c r="H34" s="26"/>
    </row>
    <row r="35" spans="1:8" ht="12.75">
      <c r="A35" s="4" t="s">
        <v>42</v>
      </c>
      <c r="B35" s="106"/>
      <c r="C35" s="33"/>
      <c r="D35" s="40">
        <v>-145916</v>
      </c>
      <c r="E35" s="29"/>
      <c r="F35" s="208"/>
      <c r="G35" s="24">
        <f t="shared" si="1"/>
        <v>0</v>
      </c>
      <c r="H35" s="71"/>
    </row>
    <row r="36" spans="1:8" ht="12.75">
      <c r="A36" s="4" t="s">
        <v>43</v>
      </c>
      <c r="B36" s="106"/>
      <c r="C36" s="33"/>
      <c r="D36" s="40">
        <v>-4441641</v>
      </c>
      <c r="E36" s="29"/>
      <c r="F36" s="208"/>
      <c r="G36" s="24">
        <f t="shared" si="1"/>
        <v>0</v>
      </c>
      <c r="H36" s="71"/>
    </row>
    <row r="37" spans="1:8" ht="12.75">
      <c r="A37" s="6"/>
      <c r="B37" s="106"/>
      <c r="C37" s="33"/>
      <c r="D37" s="40"/>
      <c r="E37" s="29"/>
      <c r="F37" s="208"/>
      <c r="G37" s="24">
        <f t="shared" si="1"/>
        <v>0</v>
      </c>
      <c r="H37" s="71"/>
    </row>
    <row r="38" spans="1:8" ht="12.75">
      <c r="A38" s="6" t="s">
        <v>44</v>
      </c>
      <c r="B38" s="119"/>
      <c r="C38" s="46"/>
      <c r="D38" s="45"/>
      <c r="E38" s="45"/>
      <c r="F38" s="211"/>
      <c r="G38" s="24">
        <f t="shared" si="1"/>
        <v>0</v>
      </c>
      <c r="H38" s="47"/>
    </row>
    <row r="39" spans="1:9" s="85" customFormat="1" ht="12.75">
      <c r="A39" s="4" t="s">
        <v>45</v>
      </c>
      <c r="B39" s="106"/>
      <c r="C39" s="33">
        <v>-1043000</v>
      </c>
      <c r="E39" s="45">
        <v>-1043000</v>
      </c>
      <c r="F39" s="211">
        <f>-1043000+1043000</f>
        <v>0</v>
      </c>
      <c r="G39" s="24">
        <f t="shared" si="1"/>
        <v>1043000</v>
      </c>
      <c r="H39" s="47">
        <v>-1087536.1</v>
      </c>
      <c r="I39" s="29">
        <v>-1126687.3996</v>
      </c>
    </row>
    <row r="40" spans="1:8" ht="12.75">
      <c r="A40" s="4" t="s">
        <v>46</v>
      </c>
      <c r="B40" s="119">
        <v>-1043000</v>
      </c>
      <c r="C40" s="46"/>
      <c r="D40" s="29">
        <v>-1043000</v>
      </c>
      <c r="E40" s="29"/>
      <c r="F40" s="208"/>
      <c r="G40" s="24">
        <f t="shared" si="1"/>
        <v>0</v>
      </c>
      <c r="H40" s="47"/>
    </row>
    <row r="41" spans="1:8" ht="12.75">
      <c r="A41" s="4"/>
      <c r="B41" s="113"/>
      <c r="C41" s="25"/>
      <c r="D41" s="24"/>
      <c r="E41" s="24"/>
      <c r="F41" s="205"/>
      <c r="G41" s="24">
        <f t="shared" si="1"/>
        <v>0</v>
      </c>
      <c r="H41" s="26"/>
    </row>
    <row r="42" spans="1:8" ht="12.75">
      <c r="A42" s="6" t="s">
        <v>47</v>
      </c>
      <c r="B42" s="113"/>
      <c r="C42" s="25"/>
      <c r="D42" s="24"/>
      <c r="E42" s="24"/>
      <c r="F42" s="205"/>
      <c r="G42" s="24">
        <f t="shared" si="1"/>
        <v>0</v>
      </c>
      <c r="H42" s="30"/>
    </row>
    <row r="43" spans="1:9" ht="12.75">
      <c r="A43" s="4" t="s">
        <v>45</v>
      </c>
      <c r="B43" s="102"/>
      <c r="C43" s="43">
        <v>-1000000</v>
      </c>
      <c r="E43" s="24">
        <v>-1000000</v>
      </c>
      <c r="F43" s="205">
        <f>-1000000+900000</f>
        <v>-100000</v>
      </c>
      <c r="G43" s="24">
        <f t="shared" si="1"/>
        <v>900000</v>
      </c>
      <c r="H43" s="30">
        <v>-1000000</v>
      </c>
      <c r="I43" s="42">
        <v>-1000000</v>
      </c>
    </row>
    <row r="44" spans="1:8" ht="12.75">
      <c r="A44" s="6" t="s">
        <v>46</v>
      </c>
      <c r="B44" s="106">
        <v>-1000000</v>
      </c>
      <c r="C44" s="33"/>
      <c r="D44" s="29">
        <v>-1000000</v>
      </c>
      <c r="E44" s="29"/>
      <c r="F44" s="208"/>
      <c r="G44" s="24">
        <f t="shared" si="1"/>
        <v>0</v>
      </c>
      <c r="H44" s="30"/>
    </row>
    <row r="45" spans="1:8" ht="12.75">
      <c r="A45" s="6"/>
      <c r="B45" s="106"/>
      <c r="C45" s="33"/>
      <c r="D45" s="29"/>
      <c r="E45" s="29"/>
      <c r="F45" s="208"/>
      <c r="G45" s="24">
        <f t="shared" si="1"/>
        <v>0</v>
      </c>
      <c r="H45" s="30"/>
    </row>
    <row r="46" spans="1:9" ht="12.75">
      <c r="A46" s="86" t="s">
        <v>131</v>
      </c>
      <c r="B46" s="106"/>
      <c r="C46" s="33"/>
      <c r="D46" s="29"/>
      <c r="E46" s="24">
        <v>10526971</v>
      </c>
      <c r="F46" s="205">
        <v>7927101</v>
      </c>
      <c r="G46" s="24">
        <f t="shared" si="1"/>
        <v>-2599870</v>
      </c>
      <c r="H46" s="30">
        <v>23190898.850800004</v>
      </c>
      <c r="I46" s="29">
        <v>24717534.804832004</v>
      </c>
    </row>
    <row r="47" spans="1:9" ht="12.75">
      <c r="A47" s="88"/>
      <c r="B47" s="120"/>
      <c r="C47" s="89"/>
      <c r="D47" s="41"/>
      <c r="E47" s="41"/>
      <c r="F47" s="212"/>
      <c r="G47" s="41"/>
      <c r="H47" s="90"/>
      <c r="I47" s="91"/>
    </row>
    <row r="48" spans="1:9" ht="12.75">
      <c r="A48" s="96" t="s">
        <v>124</v>
      </c>
      <c r="B48" s="113"/>
      <c r="C48" s="25"/>
      <c r="D48" s="24"/>
      <c r="E48" s="24"/>
      <c r="F48" s="205"/>
      <c r="G48" s="24">
        <f aca="true" t="shared" si="2" ref="G48:G54">F48-E48</f>
        <v>0</v>
      </c>
      <c r="H48" s="26"/>
      <c r="I48" s="72"/>
    </row>
    <row r="49" spans="1:8" ht="12.75">
      <c r="A49" s="4" t="s">
        <v>48</v>
      </c>
      <c r="B49" s="119"/>
      <c r="C49" s="46"/>
      <c r="D49" s="45">
        <v>-2818473</v>
      </c>
      <c r="E49" s="29"/>
      <c r="F49" s="208"/>
      <c r="G49" s="24">
        <f t="shared" si="2"/>
        <v>0</v>
      </c>
      <c r="H49" s="47"/>
    </row>
    <row r="50" spans="1:9" ht="12.75">
      <c r="A50" s="187" t="s">
        <v>123</v>
      </c>
      <c r="B50" s="78"/>
      <c r="C50" s="79"/>
      <c r="D50" s="119">
        <v>-2377311</v>
      </c>
      <c r="E50" s="45">
        <v>-2356284.1583999996</v>
      </c>
      <c r="F50" s="211">
        <v>-2356284.1583999996</v>
      </c>
      <c r="G50" s="24">
        <f t="shared" si="2"/>
        <v>0</v>
      </c>
      <c r="H50" s="47">
        <v>-2467972.02750816</v>
      </c>
      <c r="I50" s="45">
        <v>-2566690.9086084864</v>
      </c>
    </row>
    <row r="51" spans="1:9" s="194" customFormat="1" ht="12.75">
      <c r="A51" s="188" t="s">
        <v>283</v>
      </c>
      <c r="B51" s="189"/>
      <c r="C51" s="190"/>
      <c r="D51" s="191"/>
      <c r="E51" s="192">
        <v>-13097494</v>
      </c>
      <c r="F51" s="211">
        <v>-13097494</v>
      </c>
      <c r="G51" s="24">
        <f t="shared" si="2"/>
        <v>0</v>
      </c>
      <c r="H51" s="193"/>
      <c r="I51" s="192"/>
    </row>
    <row r="52" spans="1:9" s="194" customFormat="1" ht="12.75">
      <c r="A52" s="188" t="s">
        <v>284</v>
      </c>
      <c r="B52" s="189"/>
      <c r="C52" s="190"/>
      <c r="D52" s="191"/>
      <c r="E52" s="192">
        <v>8731037</v>
      </c>
      <c r="F52" s="211">
        <v>8731037</v>
      </c>
      <c r="G52" s="24">
        <f t="shared" si="2"/>
        <v>0</v>
      </c>
      <c r="H52" s="193"/>
      <c r="I52" s="192"/>
    </row>
    <row r="53" spans="1:9" s="194" customFormat="1" ht="12.75">
      <c r="A53" s="195" t="s">
        <v>285</v>
      </c>
      <c r="B53" s="196"/>
      <c r="C53" s="197"/>
      <c r="D53" s="198"/>
      <c r="E53" s="198">
        <v>1730352</v>
      </c>
      <c r="F53" s="208">
        <v>1730352</v>
      </c>
      <c r="G53" s="24">
        <f t="shared" si="2"/>
        <v>0</v>
      </c>
      <c r="H53" s="193">
        <v>1772590</v>
      </c>
      <c r="I53" s="192">
        <v>1836403.24</v>
      </c>
    </row>
    <row r="54" spans="1:9" ht="12.75">
      <c r="A54" s="6" t="s">
        <v>49</v>
      </c>
      <c r="B54" s="106"/>
      <c r="C54" s="33">
        <v>4849940.545</v>
      </c>
      <c r="D54" s="29">
        <v>4849940.545</v>
      </c>
      <c r="E54" s="29">
        <v>2798814</v>
      </c>
      <c r="F54" s="208">
        <v>2798814</v>
      </c>
      <c r="G54" s="24">
        <f t="shared" si="2"/>
        <v>0</v>
      </c>
      <c r="H54" s="30">
        <v>2931477.7836</v>
      </c>
      <c r="I54" s="29">
        <v>3048736.8949440005</v>
      </c>
    </row>
    <row r="55" spans="1:9" ht="12.75">
      <c r="A55" s="97" t="s">
        <v>136</v>
      </c>
      <c r="B55" s="98"/>
      <c r="C55" s="108"/>
      <c r="D55" s="98"/>
      <c r="E55" s="109"/>
      <c r="F55" s="213"/>
      <c r="G55" s="109"/>
      <c r="H55" s="110"/>
      <c r="I55" s="98"/>
    </row>
    <row r="56" spans="1:9" ht="12.75">
      <c r="A56" s="97" t="s">
        <v>134</v>
      </c>
      <c r="B56" s="98"/>
      <c r="C56" s="108"/>
      <c r="D56" s="98"/>
      <c r="E56" s="109"/>
      <c r="F56" s="213"/>
      <c r="G56" s="109"/>
      <c r="H56" s="110">
        <v>16042030.846600004</v>
      </c>
      <c r="I56" s="98">
        <v>31551532.760464005</v>
      </c>
    </row>
    <row r="57" spans="1:9" ht="12.75">
      <c r="A57" s="97" t="s">
        <v>135</v>
      </c>
      <c r="B57" s="98"/>
      <c r="C57" s="108"/>
      <c r="D57" s="98"/>
      <c r="E57" s="111"/>
      <c r="F57" s="214"/>
      <c r="G57" s="111"/>
      <c r="H57" s="110">
        <v>12182496.483000003</v>
      </c>
      <c r="I57" s="98">
        <v>17742229.942320004</v>
      </c>
    </row>
    <row r="58" spans="1:9" s="85" customFormat="1" ht="12.75">
      <c r="A58" s="97" t="s">
        <v>128</v>
      </c>
      <c r="B58" s="49"/>
      <c r="C58" s="107"/>
      <c r="D58" s="49"/>
      <c r="E58" s="49"/>
      <c r="F58" s="215"/>
      <c r="G58" s="49"/>
      <c r="H58" s="48">
        <v>10800000</v>
      </c>
      <c r="I58" s="98">
        <v>11100000</v>
      </c>
    </row>
    <row r="59" spans="1:10" ht="12.75">
      <c r="A59" s="9" t="s">
        <v>126</v>
      </c>
      <c r="B59" s="31">
        <v>-610995222.16</v>
      </c>
      <c r="C59" s="32">
        <v>-638845081.455</v>
      </c>
      <c r="D59" s="31">
        <v>-669655004.455</v>
      </c>
      <c r="E59" s="31">
        <f>SUM(E31:E58)</f>
        <v>-645397763.1584</v>
      </c>
      <c r="F59" s="207">
        <f>SUM(F31:F58)</f>
        <v>-626207874.1584</v>
      </c>
      <c r="G59" s="31">
        <f>F59-E59</f>
        <v>19189889</v>
      </c>
      <c r="H59" s="207">
        <f>SUM(H31:H58)</f>
        <v>-650057967.7340165</v>
      </c>
      <c r="I59" s="207">
        <f>SUM(I31:I58)</f>
        <v>-659409091.555558</v>
      </c>
      <c r="J59" s="70"/>
    </row>
    <row r="60" spans="1:11" ht="12.75">
      <c r="A60" s="10"/>
      <c r="B60" s="50"/>
      <c r="C60" s="51"/>
      <c r="D60" s="50"/>
      <c r="E60" s="50"/>
      <c r="F60" s="214"/>
      <c r="G60" s="50"/>
      <c r="H60" s="52"/>
      <c r="J60" s="81"/>
      <c r="K60" s="81"/>
    </row>
    <row r="61" spans="1:8" ht="12.75">
      <c r="A61" s="6" t="s">
        <v>50</v>
      </c>
      <c r="B61" s="118">
        <v>-24433553.81</v>
      </c>
      <c r="C61" s="37">
        <v>-21913265</v>
      </c>
      <c r="D61" s="38"/>
      <c r="E61" s="40"/>
      <c r="F61" s="209"/>
      <c r="G61" s="40"/>
      <c r="H61" s="39"/>
    </row>
    <row r="62" spans="1:9" ht="12.75">
      <c r="A62" s="6" t="s">
        <v>51</v>
      </c>
      <c r="B62" s="121">
        <v>-624522.62</v>
      </c>
      <c r="C62" s="37">
        <v>-932449.6341989061</v>
      </c>
      <c r="D62" s="38">
        <v>-932450</v>
      </c>
      <c r="E62" s="38">
        <v>-930559</v>
      </c>
      <c r="F62" s="209">
        <v>-930559</v>
      </c>
      <c r="G62" s="24">
        <f>F62-E62</f>
        <v>0</v>
      </c>
      <c r="H62" s="39">
        <v>-958096</v>
      </c>
      <c r="I62" s="38">
        <v>-861930</v>
      </c>
    </row>
    <row r="63" spans="1:9" ht="12.75">
      <c r="A63" s="2" t="s">
        <v>52</v>
      </c>
      <c r="B63" s="14">
        <v>-636053298.5899999</v>
      </c>
      <c r="C63" s="53">
        <v>-661690796.089199</v>
      </c>
      <c r="D63" s="14">
        <v>-670587454.455</v>
      </c>
      <c r="E63" s="14">
        <v>-646328322.1584</v>
      </c>
      <c r="F63" s="216">
        <f>SUM(F59:F62)</f>
        <v>-627138433.1584</v>
      </c>
      <c r="G63" s="14">
        <f>F63-E63</f>
        <v>19189889</v>
      </c>
      <c r="H63" s="216">
        <f>SUM(H59:H62)</f>
        <v>-651016063.7340165</v>
      </c>
      <c r="I63" s="216">
        <f>SUM(I59:I62)</f>
        <v>-660271021.555558</v>
      </c>
    </row>
    <row r="64" spans="1:8" ht="12.75">
      <c r="A64" s="4" t="s">
        <v>101</v>
      </c>
      <c r="B64" s="87"/>
      <c r="C64" s="73"/>
      <c r="D64" s="38">
        <v>-15000000</v>
      </c>
      <c r="H64" s="74"/>
    </row>
    <row r="65" spans="1:8" ht="12.75">
      <c r="A65" s="4" t="s">
        <v>102</v>
      </c>
      <c r="B65" s="87"/>
      <c r="C65" s="73"/>
      <c r="D65" s="38">
        <v>-8285041</v>
      </c>
      <c r="H65" s="74"/>
    </row>
    <row r="66" spans="1:8" ht="12.75">
      <c r="A66" s="4" t="s">
        <v>120</v>
      </c>
      <c r="B66" s="122"/>
      <c r="C66" s="73"/>
      <c r="D66" s="38"/>
      <c r="H66" s="39"/>
    </row>
    <row r="67" spans="1:9" ht="12.75">
      <c r="A67" s="2" t="s">
        <v>53</v>
      </c>
      <c r="B67" s="14">
        <v>140648438.92999995</v>
      </c>
      <c r="C67" s="53">
        <v>109682075.7284764</v>
      </c>
      <c r="D67" s="14">
        <v>69191555.4749999</v>
      </c>
      <c r="E67" s="14">
        <f>E3+E24+E63</f>
        <v>61689705.316599846</v>
      </c>
      <c r="F67" s="216">
        <f>F3+F24+F63</f>
        <v>82956844.31659985</v>
      </c>
      <c r="G67" s="14">
        <f>F67-E67</f>
        <v>21267139</v>
      </c>
      <c r="H67" s="216">
        <f>H3+H24+H63</f>
        <v>87569380.73575652</v>
      </c>
      <c r="I67" s="216">
        <f>I3+I24+I63</f>
        <v>86395647.10527468</v>
      </c>
    </row>
    <row r="68" spans="1:8" ht="12.75">
      <c r="A68" s="2"/>
      <c r="B68" s="87"/>
      <c r="C68" s="73"/>
      <c r="D68" s="38"/>
      <c r="H68" s="74"/>
    </row>
    <row r="69" spans="1:9" ht="12.75">
      <c r="A69" s="2" t="s">
        <v>54</v>
      </c>
      <c r="B69" s="125"/>
      <c r="C69" s="75"/>
      <c r="D69" s="76"/>
      <c r="E69" s="68"/>
      <c r="F69" s="218"/>
      <c r="G69" s="68"/>
      <c r="H69" s="77"/>
      <c r="I69" s="68"/>
    </row>
    <row r="70" spans="1:8" ht="12.75">
      <c r="A70" s="4" t="s">
        <v>55</v>
      </c>
      <c r="B70" s="124">
        <v>-4534419</v>
      </c>
      <c r="C70" s="73"/>
      <c r="G70" s="24">
        <f aca="true" t="shared" si="3" ref="G70:G124">F70-E70</f>
        <v>0</v>
      </c>
      <c r="H70" s="74"/>
    </row>
    <row r="71" spans="1:8" ht="12.75">
      <c r="A71" s="4" t="s">
        <v>103</v>
      </c>
      <c r="B71" s="124">
        <v>-4408986</v>
      </c>
      <c r="C71" s="73"/>
      <c r="G71" s="24">
        <f t="shared" si="3"/>
        <v>0</v>
      </c>
      <c r="H71" s="74"/>
    </row>
    <row r="72" spans="1:8" ht="12.75">
      <c r="A72" s="4" t="s">
        <v>105</v>
      </c>
      <c r="B72" s="124">
        <v>-32655</v>
      </c>
      <c r="C72" s="73"/>
      <c r="D72" s="38">
        <v>-49863</v>
      </c>
      <c r="G72" s="24">
        <f t="shared" si="3"/>
        <v>0</v>
      </c>
      <c r="H72" s="74"/>
    </row>
    <row r="73" spans="1:8" ht="12.75">
      <c r="A73" s="4" t="s">
        <v>104</v>
      </c>
      <c r="B73" s="124">
        <v>-5688203</v>
      </c>
      <c r="C73" s="73"/>
      <c r="G73" s="24">
        <f t="shared" si="3"/>
        <v>0</v>
      </c>
      <c r="H73" s="74"/>
    </row>
    <row r="74" spans="1:8" ht="12.75">
      <c r="A74" s="4" t="s">
        <v>56</v>
      </c>
      <c r="B74" s="124">
        <v>-588000</v>
      </c>
      <c r="C74" s="73"/>
      <c r="G74" s="24">
        <f t="shared" si="3"/>
        <v>0</v>
      </c>
      <c r="H74" s="74"/>
    </row>
    <row r="75" spans="1:8" ht="12.75">
      <c r="A75" s="11" t="s">
        <v>57</v>
      </c>
      <c r="B75" s="126"/>
      <c r="C75" s="73"/>
      <c r="G75" s="24">
        <f t="shared" si="3"/>
        <v>0</v>
      </c>
      <c r="H75" s="74"/>
    </row>
    <row r="76" spans="1:8" ht="12.75">
      <c r="A76" s="4" t="s">
        <v>58</v>
      </c>
      <c r="B76" s="126"/>
      <c r="C76" s="73"/>
      <c r="G76" s="24">
        <f t="shared" si="3"/>
        <v>0</v>
      </c>
      <c r="H76" s="74"/>
    </row>
    <row r="77" spans="1:9" ht="12.75">
      <c r="A77" s="4" t="s">
        <v>59</v>
      </c>
      <c r="B77" s="101">
        <v>-3800000</v>
      </c>
      <c r="C77" s="33">
        <v>-3800000</v>
      </c>
      <c r="D77" s="29">
        <v>-3800000</v>
      </c>
      <c r="E77" s="29">
        <v>-3800000</v>
      </c>
      <c r="F77" s="208">
        <v>-3800000</v>
      </c>
      <c r="G77" s="24">
        <f t="shared" si="3"/>
        <v>0</v>
      </c>
      <c r="H77" s="30">
        <v>-3800000</v>
      </c>
      <c r="I77" s="29">
        <v>-3800000</v>
      </c>
    </row>
    <row r="78" spans="1:9" ht="12.75">
      <c r="A78" s="6" t="s">
        <v>60</v>
      </c>
      <c r="B78" s="101">
        <v>-562000</v>
      </c>
      <c r="C78" s="33">
        <v>-502386</v>
      </c>
      <c r="D78" s="29">
        <v>-7000</v>
      </c>
      <c r="E78" s="29">
        <v>-7000</v>
      </c>
      <c r="F78" s="208">
        <v>-7000</v>
      </c>
      <c r="G78" s="24">
        <f t="shared" si="3"/>
        <v>0</v>
      </c>
      <c r="H78" s="30">
        <v>-7000</v>
      </c>
      <c r="I78" s="29">
        <v>-7000</v>
      </c>
    </row>
    <row r="79" spans="1:9" ht="12.75">
      <c r="A79" s="6" t="s">
        <v>61</v>
      </c>
      <c r="B79" s="101">
        <v>-65000</v>
      </c>
      <c r="C79" s="54">
        <v>-66000</v>
      </c>
      <c r="D79" s="29">
        <v>-65000</v>
      </c>
      <c r="E79" s="29">
        <v>-65000</v>
      </c>
      <c r="F79" s="208">
        <v>-65000</v>
      </c>
      <c r="G79" s="24">
        <f t="shared" si="3"/>
        <v>0</v>
      </c>
      <c r="H79" s="55">
        <v>-65000</v>
      </c>
      <c r="I79" s="29">
        <v>-65000</v>
      </c>
    </row>
    <row r="80" spans="1:9" ht="12.75">
      <c r="A80" s="6" t="s">
        <v>62</v>
      </c>
      <c r="B80" s="101">
        <v>-780000</v>
      </c>
      <c r="C80" s="54">
        <v>-147000</v>
      </c>
      <c r="D80" s="29">
        <v>-180000</v>
      </c>
      <c r="E80" s="29">
        <v>-180000</v>
      </c>
      <c r="F80" s="208">
        <v>-180000</v>
      </c>
      <c r="G80" s="24">
        <f t="shared" si="3"/>
        <v>0</v>
      </c>
      <c r="H80" s="55">
        <v>-180000</v>
      </c>
      <c r="I80" s="29">
        <v>-180000</v>
      </c>
    </row>
    <row r="81" spans="1:9" ht="12.75">
      <c r="A81" s="6" t="s">
        <v>63</v>
      </c>
      <c r="B81" s="101">
        <v>-95000</v>
      </c>
      <c r="C81" s="54">
        <v>-195000</v>
      </c>
      <c r="D81" s="29">
        <v>-95000</v>
      </c>
      <c r="E81" s="29">
        <v>-95000</v>
      </c>
      <c r="F81" s="208">
        <v>-95000</v>
      </c>
      <c r="G81" s="24">
        <f t="shared" si="3"/>
        <v>0</v>
      </c>
      <c r="H81" s="55">
        <v>-95000</v>
      </c>
      <c r="I81" s="29">
        <v>-95000</v>
      </c>
    </row>
    <row r="82" spans="1:9" ht="12.75">
      <c r="A82" s="4" t="s">
        <v>64</v>
      </c>
      <c r="B82" s="101">
        <v>-105000</v>
      </c>
      <c r="C82" s="33">
        <v>-93000</v>
      </c>
      <c r="D82" s="29">
        <v>-105000</v>
      </c>
      <c r="E82" s="29">
        <v>-105000</v>
      </c>
      <c r="F82" s="208">
        <v>-105000</v>
      </c>
      <c r="G82" s="24">
        <f t="shared" si="3"/>
        <v>0</v>
      </c>
      <c r="H82" s="30">
        <v>-105000</v>
      </c>
      <c r="I82" s="29">
        <v>-105000</v>
      </c>
    </row>
    <row r="83" spans="1:9" ht="12.75">
      <c r="A83" s="6" t="s">
        <v>65</v>
      </c>
      <c r="B83" s="101">
        <v>-292000</v>
      </c>
      <c r="C83" s="54">
        <v>-292000</v>
      </c>
      <c r="D83" s="29">
        <v>-292000</v>
      </c>
      <c r="E83" s="29">
        <v>-292000</v>
      </c>
      <c r="F83" s="208">
        <v>-292000</v>
      </c>
      <c r="G83" s="24">
        <f t="shared" si="3"/>
        <v>0</v>
      </c>
      <c r="H83" s="55">
        <v>-292000</v>
      </c>
      <c r="I83" s="29">
        <v>-292000</v>
      </c>
    </row>
    <row r="84" spans="1:9" ht="12.75">
      <c r="A84" s="4" t="s">
        <v>66</v>
      </c>
      <c r="B84" s="101">
        <v>-25152</v>
      </c>
      <c r="C84" s="33">
        <v>-25152</v>
      </c>
      <c r="D84" s="29">
        <v>-25152</v>
      </c>
      <c r="E84" s="29">
        <v>-25152</v>
      </c>
      <c r="F84" s="208">
        <v>-25152</v>
      </c>
      <c r="G84" s="24">
        <f t="shared" si="3"/>
        <v>0</v>
      </c>
      <c r="H84" s="30">
        <v>-25152</v>
      </c>
      <c r="I84" s="29">
        <v>-25152</v>
      </c>
    </row>
    <row r="85" spans="1:8" ht="12.75">
      <c r="A85" s="4" t="s">
        <v>67</v>
      </c>
      <c r="B85" s="123"/>
      <c r="C85" s="43"/>
      <c r="D85" s="42"/>
      <c r="E85" s="42"/>
      <c r="F85" s="210"/>
      <c r="G85" s="24">
        <f t="shared" si="3"/>
        <v>0</v>
      </c>
      <c r="H85" s="44"/>
    </row>
    <row r="86" spans="1:8" ht="12.75">
      <c r="A86" s="56" t="s">
        <v>68</v>
      </c>
      <c r="B86" s="123"/>
      <c r="C86" s="43"/>
      <c r="D86" s="42"/>
      <c r="E86" s="42"/>
      <c r="F86" s="210"/>
      <c r="G86" s="24">
        <f t="shared" si="3"/>
        <v>0</v>
      </c>
      <c r="H86" s="44"/>
    </row>
    <row r="87" spans="1:9" ht="12.75">
      <c r="A87" s="6" t="s">
        <v>69</v>
      </c>
      <c r="B87" s="101">
        <v>-954000</v>
      </c>
      <c r="C87" s="43">
        <v>-698938.3058010938</v>
      </c>
      <c r="D87" s="29">
        <v>-979921</v>
      </c>
      <c r="E87" s="29">
        <v>-954762</v>
      </c>
      <c r="F87" s="208">
        <v>-954762</v>
      </c>
      <c r="G87" s="24">
        <f t="shared" si="3"/>
        <v>0</v>
      </c>
      <c r="H87" s="30">
        <v>-954762</v>
      </c>
      <c r="I87" s="29">
        <v>-954762</v>
      </c>
    </row>
    <row r="88" spans="1:9" ht="12.75">
      <c r="A88" s="6" t="s">
        <v>70</v>
      </c>
      <c r="B88" s="101">
        <v>-15903000</v>
      </c>
      <c r="C88" s="43">
        <v>-15000000</v>
      </c>
      <c r="D88" s="42"/>
      <c r="E88" s="42"/>
      <c r="F88" s="210"/>
      <c r="G88" s="24">
        <f t="shared" si="3"/>
        <v>0</v>
      </c>
      <c r="H88" s="44"/>
      <c r="I88" s="70"/>
    </row>
    <row r="89" spans="1:9" ht="12.75">
      <c r="A89" s="6" t="s">
        <v>71</v>
      </c>
      <c r="B89" s="101">
        <v>-2294000</v>
      </c>
      <c r="C89" s="37">
        <v>-1242799.754999999</v>
      </c>
      <c r="D89" s="38"/>
      <c r="E89" s="40"/>
      <c r="F89" s="209"/>
      <c r="G89" s="24">
        <f t="shared" si="3"/>
        <v>0</v>
      </c>
      <c r="H89" s="39"/>
      <c r="I89" s="70"/>
    </row>
    <row r="90" spans="1:9" ht="12.75">
      <c r="A90" s="4" t="s">
        <v>72</v>
      </c>
      <c r="B90" s="101">
        <v>-10537787.91</v>
      </c>
      <c r="C90" s="43">
        <v>-307857</v>
      </c>
      <c r="D90" s="29">
        <v>-307857</v>
      </c>
      <c r="E90" s="29"/>
      <c r="F90" s="208"/>
      <c r="G90" s="24">
        <f t="shared" si="3"/>
        <v>0</v>
      </c>
      <c r="H90" s="30"/>
      <c r="I90" s="29"/>
    </row>
    <row r="91" spans="1:8" ht="12.75">
      <c r="A91" s="56" t="s">
        <v>73</v>
      </c>
      <c r="B91" s="123"/>
      <c r="C91" s="43"/>
      <c r="D91" s="42"/>
      <c r="E91" s="42"/>
      <c r="F91" s="210"/>
      <c r="G91" s="24">
        <f t="shared" si="3"/>
        <v>0</v>
      </c>
      <c r="H91" s="44"/>
    </row>
    <row r="92" spans="1:9" ht="12.75">
      <c r="A92" s="4" t="s">
        <v>74</v>
      </c>
      <c r="B92" s="101">
        <v>-1000000</v>
      </c>
      <c r="C92" s="43">
        <v>-3000000</v>
      </c>
      <c r="D92" s="29">
        <v>-719539</v>
      </c>
      <c r="E92" s="42">
        <v>-16103974</v>
      </c>
      <c r="F92" s="210">
        <f>-16103974+-1043000</f>
        <v>-17146974</v>
      </c>
      <c r="G92" s="24">
        <f t="shared" si="3"/>
        <v>-1043000</v>
      </c>
      <c r="H92" s="44">
        <v>-13093451.022199998</v>
      </c>
      <c r="I92" s="29">
        <v>-13564815.258999199</v>
      </c>
    </row>
    <row r="93" spans="1:8" ht="12.75">
      <c r="A93" s="4" t="s">
        <v>75</v>
      </c>
      <c r="B93" s="101">
        <v>-1400000</v>
      </c>
      <c r="C93" s="43"/>
      <c r="D93" s="42"/>
      <c r="E93" s="42"/>
      <c r="F93" s="210"/>
      <c r="G93" s="24">
        <f t="shared" si="3"/>
        <v>0</v>
      </c>
      <c r="H93" s="44"/>
    </row>
    <row r="94" spans="1:8" ht="12.75">
      <c r="A94" s="4" t="s">
        <v>76</v>
      </c>
      <c r="B94" s="101">
        <v>-250000</v>
      </c>
      <c r="C94" s="43"/>
      <c r="D94" s="42"/>
      <c r="E94" s="42"/>
      <c r="F94" s="210"/>
      <c r="G94" s="24">
        <f t="shared" si="3"/>
        <v>0</v>
      </c>
      <c r="H94" s="44"/>
    </row>
    <row r="95" spans="1:9" ht="12.75">
      <c r="A95" s="10" t="s">
        <v>77</v>
      </c>
      <c r="B95" s="123"/>
      <c r="C95" s="43"/>
      <c r="D95" s="42"/>
      <c r="E95" s="42">
        <v>-900000</v>
      </c>
      <c r="F95" s="210">
        <v>-900000</v>
      </c>
      <c r="G95" s="24">
        <f t="shared" si="3"/>
        <v>0</v>
      </c>
      <c r="H95" s="42">
        <v>-900000</v>
      </c>
      <c r="I95" s="58">
        <v>-900000</v>
      </c>
    </row>
    <row r="96" spans="1:8" ht="12.75">
      <c r="A96" s="10" t="s">
        <v>11</v>
      </c>
      <c r="B96" s="101">
        <v>-6000000</v>
      </c>
      <c r="C96" s="43"/>
      <c r="D96" s="42"/>
      <c r="E96" s="42"/>
      <c r="F96" s="210"/>
      <c r="G96" s="24">
        <f t="shared" si="3"/>
        <v>0</v>
      </c>
      <c r="H96" s="44"/>
    </row>
    <row r="97" spans="1:8" ht="12.75">
      <c r="A97" s="10" t="s">
        <v>12</v>
      </c>
      <c r="B97" s="101">
        <v>-2230000</v>
      </c>
      <c r="C97" s="43"/>
      <c r="D97" s="42"/>
      <c r="E97" s="42"/>
      <c r="F97" s="210"/>
      <c r="G97" s="24">
        <f t="shared" si="3"/>
        <v>0</v>
      </c>
      <c r="H97" s="44"/>
    </row>
    <row r="98" spans="1:8" ht="12.75">
      <c r="A98" s="10" t="s">
        <v>13</v>
      </c>
      <c r="B98" s="101">
        <v>-2320000</v>
      </c>
      <c r="C98" s="43">
        <v>-900000</v>
      </c>
      <c r="D98" s="29"/>
      <c r="E98" s="29"/>
      <c r="F98" s="208"/>
      <c r="G98" s="24">
        <f t="shared" si="3"/>
        <v>0</v>
      </c>
      <c r="H98" s="30"/>
    </row>
    <row r="99" spans="1:8" ht="12.75">
      <c r="A99" s="10" t="s">
        <v>14</v>
      </c>
      <c r="B99" s="57"/>
      <c r="C99" s="43"/>
      <c r="D99" s="42"/>
      <c r="E99" s="42"/>
      <c r="F99" s="210"/>
      <c r="G99" s="24">
        <f t="shared" si="3"/>
        <v>0</v>
      </c>
      <c r="H99" s="44"/>
    </row>
    <row r="100" spans="1:8" ht="12.75">
      <c r="A100" s="10" t="s">
        <v>15</v>
      </c>
      <c r="B100" s="101">
        <v>-2000000</v>
      </c>
      <c r="C100" s="43"/>
      <c r="D100" s="42"/>
      <c r="E100" s="42"/>
      <c r="F100" s="210"/>
      <c r="G100" s="24">
        <f t="shared" si="3"/>
        <v>0</v>
      </c>
      <c r="H100" s="44"/>
    </row>
    <row r="101" spans="1:8" ht="12.75">
      <c r="A101" s="10" t="s">
        <v>16</v>
      </c>
      <c r="B101" s="101">
        <v>-5592000</v>
      </c>
      <c r="C101" s="43"/>
      <c r="D101" s="42"/>
      <c r="E101" s="42"/>
      <c r="F101" s="210"/>
      <c r="G101" s="24">
        <f t="shared" si="3"/>
        <v>0</v>
      </c>
      <c r="H101" s="44"/>
    </row>
    <row r="102" spans="1:9" ht="12.75">
      <c r="A102" s="10" t="s">
        <v>17</v>
      </c>
      <c r="B102" s="57"/>
      <c r="C102" s="43">
        <v>-2511647</v>
      </c>
      <c r="D102" s="42">
        <v>-1074172</v>
      </c>
      <c r="E102" s="29"/>
      <c r="F102" s="208"/>
      <c r="G102" s="24">
        <f t="shared" si="3"/>
        <v>0</v>
      </c>
      <c r="H102" s="30"/>
      <c r="I102" s="58"/>
    </row>
    <row r="103" spans="1:9" ht="12.75">
      <c r="A103" s="10" t="s">
        <v>78</v>
      </c>
      <c r="B103" s="57"/>
      <c r="C103" s="43">
        <v>-359199</v>
      </c>
      <c r="D103" s="29">
        <v>-359199</v>
      </c>
      <c r="E103" s="29"/>
      <c r="F103" s="208"/>
      <c r="G103" s="24">
        <f t="shared" si="3"/>
        <v>0</v>
      </c>
      <c r="H103" s="30"/>
      <c r="I103" s="58"/>
    </row>
    <row r="104" spans="1:9" s="85" customFormat="1" ht="12.75">
      <c r="A104" s="10" t="s">
        <v>108</v>
      </c>
      <c r="B104" s="57"/>
      <c r="C104" s="43"/>
      <c r="D104" s="29"/>
      <c r="E104" s="29">
        <v>-1500000</v>
      </c>
      <c r="F104" s="208">
        <v>-1500000</v>
      </c>
      <c r="G104" s="24">
        <f t="shared" si="3"/>
        <v>0</v>
      </c>
      <c r="H104" s="30">
        <v>-1500000</v>
      </c>
      <c r="I104" s="58">
        <v>-1500000</v>
      </c>
    </row>
    <row r="105" spans="1:9" s="85" customFormat="1" ht="12.75">
      <c r="A105" s="10" t="s">
        <v>107</v>
      </c>
      <c r="B105" s="57"/>
      <c r="C105" s="43"/>
      <c r="D105" s="29">
        <v>0</v>
      </c>
      <c r="E105" s="42">
        <v>0</v>
      </c>
      <c r="F105" s="210">
        <v>0</v>
      </c>
      <c r="G105" s="24">
        <f t="shared" si="3"/>
        <v>0</v>
      </c>
      <c r="H105" s="44">
        <v>0</v>
      </c>
      <c r="I105" s="58">
        <v>0</v>
      </c>
    </row>
    <row r="106" spans="1:9" ht="12.75">
      <c r="A106" s="10" t="s">
        <v>79</v>
      </c>
      <c r="B106" s="101">
        <v>-9450000</v>
      </c>
      <c r="C106" s="43">
        <v>-24675000</v>
      </c>
      <c r="D106" s="29">
        <v>-19877575</v>
      </c>
      <c r="E106" s="29"/>
      <c r="F106" s="208"/>
      <c r="G106" s="24">
        <f t="shared" si="3"/>
        <v>0</v>
      </c>
      <c r="H106" s="30"/>
      <c r="I106" s="58"/>
    </row>
    <row r="107" spans="1:8" ht="12.75">
      <c r="A107" s="56" t="s">
        <v>80</v>
      </c>
      <c r="B107" s="57"/>
      <c r="C107" s="43"/>
      <c r="D107" s="42"/>
      <c r="E107" s="42"/>
      <c r="F107" s="210"/>
      <c r="G107" s="24">
        <f t="shared" si="3"/>
        <v>0</v>
      </c>
      <c r="H107" s="44"/>
    </row>
    <row r="108" spans="1:9" ht="12.75">
      <c r="A108" s="86" t="s">
        <v>130</v>
      </c>
      <c r="B108" s="101">
        <v>-7738000</v>
      </c>
      <c r="C108" s="43">
        <v>-7738000</v>
      </c>
      <c r="D108" s="29">
        <v>-7738000</v>
      </c>
      <c r="E108" s="29">
        <v>-5444680</v>
      </c>
      <c r="F108" s="208">
        <v>-5444680</v>
      </c>
      <c r="G108" s="24">
        <f t="shared" si="3"/>
        <v>0</v>
      </c>
      <c r="H108" s="30">
        <v>-2722340</v>
      </c>
      <c r="I108" s="58"/>
    </row>
    <row r="109" spans="1:8" ht="12.75">
      <c r="A109" s="137" t="s">
        <v>81</v>
      </c>
      <c r="B109" s="101">
        <v>-3383410</v>
      </c>
      <c r="C109" s="43"/>
      <c r="D109" s="42"/>
      <c r="E109" s="42"/>
      <c r="F109" s="210"/>
      <c r="G109" s="24">
        <f t="shared" si="3"/>
        <v>0</v>
      </c>
      <c r="H109" s="44"/>
    </row>
    <row r="110" spans="1:8" ht="12.75">
      <c r="A110" s="137" t="s">
        <v>82</v>
      </c>
      <c r="B110" s="101">
        <v>-6000000</v>
      </c>
      <c r="C110" s="43"/>
      <c r="D110" s="42"/>
      <c r="E110" s="42"/>
      <c r="F110" s="210"/>
      <c r="G110" s="24">
        <f t="shared" si="3"/>
        <v>0</v>
      </c>
      <c r="H110" s="44"/>
    </row>
    <row r="111" spans="1:8" ht="12.75">
      <c r="A111" s="137" t="s">
        <v>83</v>
      </c>
      <c r="B111" s="101">
        <v>-1500000</v>
      </c>
      <c r="C111" s="59"/>
      <c r="D111" s="57"/>
      <c r="E111" s="42"/>
      <c r="F111" s="210"/>
      <c r="G111" s="24">
        <f t="shared" si="3"/>
        <v>0</v>
      </c>
      <c r="H111" s="60"/>
    </row>
    <row r="112" spans="1:8" ht="12.75">
      <c r="A112" s="137" t="s">
        <v>84</v>
      </c>
      <c r="B112" s="101">
        <v>-1000000</v>
      </c>
      <c r="C112" s="43"/>
      <c r="D112" s="42"/>
      <c r="E112" s="42"/>
      <c r="F112" s="210"/>
      <c r="G112" s="24">
        <f t="shared" si="3"/>
        <v>0</v>
      </c>
      <c r="H112" s="44"/>
    </row>
    <row r="113" spans="1:8" ht="12.75">
      <c r="A113" s="12" t="s">
        <v>85</v>
      </c>
      <c r="B113" s="124"/>
      <c r="C113" s="43"/>
      <c r="D113" s="42"/>
      <c r="E113" s="42"/>
      <c r="F113" s="210"/>
      <c r="G113" s="24">
        <f t="shared" si="3"/>
        <v>0</v>
      </c>
      <c r="H113" s="44"/>
    </row>
    <row r="114" spans="1:9" ht="12.75">
      <c r="A114" s="13" t="s">
        <v>86</v>
      </c>
      <c r="B114" s="124"/>
      <c r="C114" s="43">
        <v>-10000000</v>
      </c>
      <c r="D114" s="29"/>
      <c r="E114" s="29"/>
      <c r="F114" s="208"/>
      <c r="G114" s="24">
        <f t="shared" si="3"/>
        <v>0</v>
      </c>
      <c r="H114" s="30">
        <v>-10000000</v>
      </c>
      <c r="I114" s="29">
        <v>-10000000</v>
      </c>
    </row>
    <row r="115" spans="1:9" ht="12.75">
      <c r="A115" s="13" t="s">
        <v>310</v>
      </c>
      <c r="B115" s="124"/>
      <c r="C115" s="43"/>
      <c r="D115" s="29"/>
      <c r="E115" s="29"/>
      <c r="F115" s="208"/>
      <c r="G115" s="24">
        <f t="shared" si="3"/>
        <v>0</v>
      </c>
      <c r="H115" s="30">
        <v>-250000</v>
      </c>
      <c r="I115" s="29"/>
    </row>
    <row r="116" spans="1:8" ht="12.75">
      <c r="A116" s="1" t="s">
        <v>87</v>
      </c>
      <c r="B116" s="124"/>
      <c r="C116" s="43">
        <v>-180000</v>
      </c>
      <c r="D116" s="101"/>
      <c r="E116" s="42"/>
      <c r="F116" s="210"/>
      <c r="G116" s="24">
        <f t="shared" si="3"/>
        <v>0</v>
      </c>
      <c r="H116" s="30"/>
    </row>
    <row r="117" spans="1:8" ht="12.75">
      <c r="A117" s="1" t="s">
        <v>88</v>
      </c>
      <c r="B117" s="124"/>
      <c r="C117" s="43">
        <v>-178500</v>
      </c>
      <c r="D117" s="101"/>
      <c r="E117" s="42"/>
      <c r="F117" s="210"/>
      <c r="G117" s="24">
        <f t="shared" si="3"/>
        <v>0</v>
      </c>
      <c r="H117" s="30"/>
    </row>
    <row r="118" spans="1:8" ht="12.75">
      <c r="A118" s="1" t="s">
        <v>89</v>
      </c>
      <c r="B118" s="124"/>
      <c r="C118" s="43">
        <v>-909420</v>
      </c>
      <c r="D118" s="42"/>
      <c r="E118" s="42"/>
      <c r="F118" s="210"/>
      <c r="G118" s="24">
        <f t="shared" si="3"/>
        <v>0</v>
      </c>
      <c r="H118" s="30"/>
    </row>
    <row r="119" spans="1:8" ht="12.75">
      <c r="A119" s="1" t="s">
        <v>90</v>
      </c>
      <c r="B119" s="124"/>
      <c r="C119" s="43">
        <v>-261420</v>
      </c>
      <c r="D119" s="42"/>
      <c r="E119" s="42"/>
      <c r="F119" s="210"/>
      <c r="G119" s="24">
        <f t="shared" si="3"/>
        <v>0</v>
      </c>
      <c r="H119" s="30"/>
    </row>
    <row r="120" spans="1:8" ht="12.75">
      <c r="A120" s="1" t="s">
        <v>91</v>
      </c>
      <c r="B120" s="124"/>
      <c r="C120" s="43">
        <v>-493826</v>
      </c>
      <c r="D120" s="42"/>
      <c r="E120" s="42"/>
      <c r="F120" s="210"/>
      <c r="G120" s="24">
        <f t="shared" si="3"/>
        <v>0</v>
      </c>
      <c r="H120" s="30"/>
    </row>
    <row r="121" spans="1:8" ht="12.75">
      <c r="A121" s="1" t="s">
        <v>92</v>
      </c>
      <c r="B121" s="124"/>
      <c r="C121" s="43">
        <v>-3000000</v>
      </c>
      <c r="D121" s="101"/>
      <c r="E121" s="42"/>
      <c r="F121" s="210"/>
      <c r="G121" s="24">
        <f t="shared" si="3"/>
        <v>0</v>
      </c>
      <c r="H121" s="30"/>
    </row>
    <row r="122" spans="1:8" ht="12.75">
      <c r="A122" s="12" t="s">
        <v>311</v>
      </c>
      <c r="B122" s="124"/>
      <c r="C122" s="43"/>
      <c r="D122" s="101"/>
      <c r="E122" s="42"/>
      <c r="F122" s="210"/>
      <c r="G122" s="24">
        <f t="shared" si="3"/>
        <v>0</v>
      </c>
      <c r="H122" s="30"/>
    </row>
    <row r="123" spans="1:8" ht="12.75">
      <c r="A123" s="1" t="s">
        <v>312</v>
      </c>
      <c r="B123" s="124"/>
      <c r="C123" s="43"/>
      <c r="D123" s="101"/>
      <c r="E123" s="42"/>
      <c r="F123" s="210">
        <v>-16217631</v>
      </c>
      <c r="G123" s="24">
        <f t="shared" si="3"/>
        <v>-16217631</v>
      </c>
      <c r="H123" s="30"/>
    </row>
    <row r="124" spans="1:8" ht="12.75">
      <c r="A124" s="1" t="s">
        <v>313</v>
      </c>
      <c r="B124" s="124"/>
      <c r="C124" s="43"/>
      <c r="D124" s="101"/>
      <c r="E124" s="42"/>
      <c r="F124" s="210">
        <v>-3835841</v>
      </c>
      <c r="G124" s="24">
        <f t="shared" si="3"/>
        <v>-3835841</v>
      </c>
      <c r="H124" s="30"/>
    </row>
    <row r="125" spans="1:9" ht="12.75">
      <c r="A125" s="2" t="s">
        <v>93</v>
      </c>
      <c r="B125" s="127">
        <v>-100528612.91</v>
      </c>
      <c r="C125" s="53">
        <v>-76577145.06080109</v>
      </c>
      <c r="D125" s="14">
        <v>-35675278</v>
      </c>
      <c r="E125" s="222">
        <f>SUM(E70:E124)</f>
        <v>-29472568</v>
      </c>
      <c r="F125" s="216">
        <f>SUM(F70:F124)</f>
        <v>-50569040</v>
      </c>
      <c r="G125" s="222">
        <f>F125-E125</f>
        <v>-21096472</v>
      </c>
      <c r="H125" s="216">
        <f>SUM(H70:H124)</f>
        <v>-33989705.022199996</v>
      </c>
      <c r="I125" s="216">
        <f>SUM(I70:I124)</f>
        <v>-31488729.2589992</v>
      </c>
    </row>
    <row r="126" spans="1:9" ht="12.75">
      <c r="A126" s="2"/>
      <c r="B126" s="126"/>
      <c r="C126" s="73"/>
      <c r="H126" s="217"/>
      <c r="I126" s="217"/>
    </row>
    <row r="127" spans="1:9" ht="12.75">
      <c r="A127" s="2" t="s">
        <v>94</v>
      </c>
      <c r="B127" s="127">
        <v>40119826.01999995</v>
      </c>
      <c r="C127" s="53">
        <v>33104930.667675316</v>
      </c>
      <c r="D127" s="14">
        <v>33516277.474999905</v>
      </c>
      <c r="E127" s="14">
        <v>32217137.316599846</v>
      </c>
      <c r="F127" s="216">
        <f>F67+F125</f>
        <v>32387804.316599846</v>
      </c>
      <c r="G127" s="14">
        <f>F127-E127</f>
        <v>170667</v>
      </c>
      <c r="H127" s="216">
        <f>H67+H125</f>
        <v>53579675.71355652</v>
      </c>
      <c r="I127" s="216">
        <f>I67+I125</f>
        <v>54906917.84627548</v>
      </c>
    </row>
    <row r="128" spans="1:9" ht="12.75">
      <c r="A128" s="2"/>
      <c r="B128" s="126"/>
      <c r="C128" s="73"/>
      <c r="D128" s="72"/>
      <c r="H128" s="217"/>
      <c r="I128" s="217"/>
    </row>
    <row r="129" spans="1:9" ht="12.75">
      <c r="A129" s="2" t="s">
        <v>95</v>
      </c>
      <c r="B129" s="128">
        <v>0.07420871840062714</v>
      </c>
      <c r="C129" s="62">
        <v>0.06002431247699415</v>
      </c>
      <c r="D129" s="61">
        <v>0.0626886440336161</v>
      </c>
      <c r="E129" s="61">
        <f>E127/SUM(E6:E13)</f>
        <v>0.06003906593931264</v>
      </c>
      <c r="F129" s="219">
        <f>F127/SUM(F6:F13)</f>
        <v>0.060124368599305665</v>
      </c>
      <c r="G129" s="61"/>
      <c r="H129" s="219">
        <f>H127/SUM(H6:H13)</f>
        <v>0.09900901231055467</v>
      </c>
      <c r="I129" s="219">
        <f>I127/SUM(I6:I13)</f>
        <v>0.09805224642204045</v>
      </c>
    </row>
    <row r="130" spans="1:9" ht="12.75" hidden="1">
      <c r="A130" s="2"/>
      <c r="B130" s="129"/>
      <c r="C130" s="64"/>
      <c r="D130" s="63"/>
      <c r="E130" s="63"/>
      <c r="F130" s="220"/>
      <c r="G130" s="63"/>
      <c r="H130" s="220"/>
      <c r="I130" s="220"/>
    </row>
    <row r="131" spans="1:9" ht="13.5" thickBot="1">
      <c r="A131" s="65" t="s">
        <v>96</v>
      </c>
      <c r="B131" s="130">
        <v>7681729.619999953</v>
      </c>
      <c r="C131" s="67">
        <v>13409</v>
      </c>
      <c r="D131" s="66">
        <v>1437474.6949999072</v>
      </c>
      <c r="E131" s="66">
        <f>E127-(0.06*SUM(E6:E13))</f>
        <v>20962.896599847823</v>
      </c>
      <c r="F131" s="221">
        <f>F127-(0.06*SUM(F6:F13))</f>
        <v>66994.89659984782</v>
      </c>
      <c r="G131" s="14">
        <f>F131-E131</f>
        <v>46032</v>
      </c>
      <c r="H131" s="221">
        <f>H127-(0.06*SUM(H6:H13))</f>
        <v>21110100.795166135</v>
      </c>
      <c r="I131" s="221">
        <f>I127-(0.06*SUM(I6:I13))</f>
        <v>21308349.827786908</v>
      </c>
    </row>
    <row r="133" spans="1:9" ht="12.75">
      <c r="A133" s="84" t="s">
        <v>132</v>
      </c>
      <c r="H133" s="103">
        <v>0.026301552752768798</v>
      </c>
      <c r="I133" s="103">
        <v>0.005290629132244318</v>
      </c>
    </row>
    <row r="134" spans="1:9" ht="12.75">
      <c r="A134" s="8" t="s">
        <v>133</v>
      </c>
      <c r="H134" s="103">
        <v>0.007252879712839944</v>
      </c>
      <c r="I134" s="103">
        <v>0.0142161742806437</v>
      </c>
    </row>
  </sheetData>
  <printOptions headings="1"/>
  <pageMargins left="0.75" right="0.75" top="1" bottom="1" header="0.5" footer="0.5"/>
  <pageSetup fitToHeight="2" horizontalDpi="600" verticalDpi="600" orientation="landscape" paperSize="5" scale="95" r:id="rId3"/>
  <headerFooter alignWithMargins="0">
    <oddFooter>&amp;L&amp;8&amp;F&amp;C&amp;8Page &amp;P of &amp;N&amp;R&amp;8&amp;D  &amp;T</oddFooter>
  </headerFooter>
  <rowBreaks count="1" manualBreakCount="1">
    <brk id="67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SheetLayoutView="100" workbookViewId="0" topLeftCell="A1">
      <pane xSplit="1" ySplit="2" topLeftCell="E1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5" sqref="G125"/>
    </sheetView>
  </sheetViews>
  <sheetFormatPr defaultColWidth="9.140625" defaultRowHeight="12.75"/>
  <cols>
    <col min="1" max="1" width="41.140625" style="224" customWidth="1"/>
    <col min="2" max="2" width="12.8515625" style="83" customWidth="1"/>
    <col min="3" max="3" width="12.421875" style="262" customWidth="1"/>
    <col min="4" max="4" width="12.421875" style="126" customWidth="1"/>
    <col min="5" max="5" width="12.421875" style="239" customWidth="1"/>
    <col min="6" max="6" width="13.00390625" style="284" customWidth="1"/>
    <col min="7" max="7" width="12.421875" style="126" customWidth="1"/>
    <col min="8" max="8" width="12.421875" style="224" customWidth="1"/>
    <col min="9" max="9" width="15.8515625" style="224" customWidth="1"/>
    <col min="10" max="16384" width="9.140625" style="224" customWidth="1"/>
  </cols>
  <sheetData>
    <row r="1" spans="1:8" ht="15">
      <c r="A1" s="245" t="s">
        <v>319</v>
      </c>
      <c r="B1" s="112"/>
      <c r="C1" s="246"/>
      <c r="D1" s="100"/>
      <c r="E1" s="100"/>
      <c r="F1" s="270"/>
      <c r="G1" s="100"/>
      <c r="H1" s="100"/>
    </row>
    <row r="2" spans="2:8" ht="41.25" customHeight="1">
      <c r="B2" s="16" t="s">
        <v>125</v>
      </c>
      <c r="C2" s="247" t="s">
        <v>219</v>
      </c>
      <c r="D2" s="18" t="s">
        <v>137</v>
      </c>
      <c r="E2" s="18" t="s">
        <v>314</v>
      </c>
      <c r="F2" s="271" t="s">
        <v>317</v>
      </c>
      <c r="G2" s="18" t="s">
        <v>97</v>
      </c>
      <c r="H2" s="18" t="s">
        <v>100</v>
      </c>
    </row>
    <row r="3" spans="1:8" ht="12.75">
      <c r="A3" s="2" t="s">
        <v>18</v>
      </c>
      <c r="B3" s="20">
        <v>143764572.95999992</v>
      </c>
      <c r="C3" s="248">
        <v>113095534.05837941</v>
      </c>
      <c r="D3" s="20">
        <v>140648438.92999995</v>
      </c>
      <c r="E3" s="20">
        <v>69191555.4749999</v>
      </c>
      <c r="F3" s="272">
        <v>69191555.4749999</v>
      </c>
      <c r="G3" s="248">
        <v>82254267.4749999</v>
      </c>
      <c r="H3" s="20">
        <v>86866803.89415658</v>
      </c>
    </row>
    <row r="4" spans="1:7" ht="12.75">
      <c r="A4" s="3"/>
      <c r="B4" s="113"/>
      <c r="C4" s="249"/>
      <c r="D4" s="225"/>
      <c r="E4" s="225"/>
      <c r="F4" s="273"/>
      <c r="G4" s="225"/>
    </row>
    <row r="5" spans="1:8" ht="12.75">
      <c r="A5" s="2" t="s">
        <v>19</v>
      </c>
      <c r="B5" s="114"/>
      <c r="C5" s="250"/>
      <c r="D5" s="226"/>
      <c r="E5" s="226"/>
      <c r="F5" s="274"/>
      <c r="G5" s="226"/>
      <c r="H5" s="227"/>
    </row>
    <row r="6" spans="1:8" ht="12.75">
      <c r="A6" s="228" t="s">
        <v>20</v>
      </c>
      <c r="B6" s="115">
        <v>264768058</v>
      </c>
      <c r="C6" s="249">
        <v>274184484</v>
      </c>
      <c r="D6" s="225">
        <v>272831373</v>
      </c>
      <c r="E6" s="225">
        <v>282222052</v>
      </c>
      <c r="F6" s="273">
        <v>282222052</v>
      </c>
      <c r="G6" s="225">
        <v>287928738</v>
      </c>
      <c r="H6" s="105">
        <v>294032158</v>
      </c>
    </row>
    <row r="7" spans="1:8" ht="12.75">
      <c r="A7" s="228" t="s">
        <v>21</v>
      </c>
      <c r="B7" s="115">
        <v>-18446505</v>
      </c>
      <c r="C7" s="249">
        <v>-17974021</v>
      </c>
      <c r="D7" s="225">
        <v>-17981392</v>
      </c>
      <c r="E7" s="225">
        <v>-21809903</v>
      </c>
      <c r="F7" s="273">
        <v>-21809903</v>
      </c>
      <c r="G7" s="225">
        <v>-22555446.4168269</v>
      </c>
      <c r="H7" s="105">
        <v>-22751270.5563239</v>
      </c>
    </row>
    <row r="8" spans="1:8" ht="12.75">
      <c r="A8" s="228" t="s">
        <v>22</v>
      </c>
      <c r="B8" s="113">
        <v>83089019</v>
      </c>
      <c r="C8" s="249">
        <v>85425758</v>
      </c>
      <c r="D8" s="225">
        <v>79590932</v>
      </c>
      <c r="E8" s="225">
        <v>80373000</v>
      </c>
      <c r="F8" s="273">
        <v>80373000</v>
      </c>
      <c r="G8" s="225">
        <v>82704000</v>
      </c>
      <c r="H8" s="105">
        <v>85930000</v>
      </c>
    </row>
    <row r="9" spans="1:9" ht="12.75">
      <c r="A9" s="228" t="s">
        <v>99</v>
      </c>
      <c r="B9" s="115"/>
      <c r="C9" s="249"/>
      <c r="D9" s="225">
        <v>4640068</v>
      </c>
      <c r="E9" s="225"/>
      <c r="F9" s="273"/>
      <c r="G9" s="225"/>
      <c r="H9" s="105"/>
      <c r="I9" s="105"/>
    </row>
    <row r="10" spans="1:8" ht="12.75">
      <c r="A10" s="228" t="s">
        <v>23</v>
      </c>
      <c r="B10" s="115">
        <v>20798490</v>
      </c>
      <c r="C10" s="249">
        <v>19516494</v>
      </c>
      <c r="D10" s="225">
        <v>18557858</v>
      </c>
      <c r="E10" s="225">
        <v>18118858</v>
      </c>
      <c r="F10" s="273">
        <v>18118858</v>
      </c>
      <c r="G10" s="225">
        <v>18483815.16</v>
      </c>
      <c r="H10" s="105">
        <v>19172831.4632</v>
      </c>
    </row>
    <row r="11" spans="1:8" ht="12.75">
      <c r="A11" s="228" t="s">
        <v>24</v>
      </c>
      <c r="B11" s="115">
        <v>18323085</v>
      </c>
      <c r="C11" s="249">
        <v>22312662</v>
      </c>
      <c r="D11" s="225">
        <v>12382500</v>
      </c>
      <c r="E11" s="225">
        <v>8282500</v>
      </c>
      <c r="F11" s="273">
        <v>8282500</v>
      </c>
      <c r="G11" s="225">
        <v>8375000</v>
      </c>
      <c r="H11" s="105">
        <v>8761000</v>
      </c>
    </row>
    <row r="12" spans="1:8" ht="12.75">
      <c r="A12" s="228" t="s">
        <v>98</v>
      </c>
      <c r="B12" s="113">
        <v>-4042985</v>
      </c>
      <c r="C12" s="249"/>
      <c r="D12" s="225">
        <v>-685362</v>
      </c>
      <c r="E12" s="225"/>
      <c r="F12" s="273"/>
      <c r="G12" s="225"/>
      <c r="H12" s="105"/>
    </row>
    <row r="13" spans="1:8" ht="12.75">
      <c r="A13" s="229" t="s">
        <v>25</v>
      </c>
      <c r="B13" s="113">
        <v>176145778</v>
      </c>
      <c r="C13" s="249">
        <v>168059985</v>
      </c>
      <c r="D13" s="225">
        <v>165310736</v>
      </c>
      <c r="E13" s="225">
        <v>169416400</v>
      </c>
      <c r="F13" s="273">
        <v>171493650</v>
      </c>
      <c r="G13" s="225">
        <v>166223475.23000002</v>
      </c>
      <c r="H13" s="105">
        <v>174831414.7346</v>
      </c>
    </row>
    <row r="14" spans="1:8" ht="12.75">
      <c r="A14" s="229" t="s">
        <v>26</v>
      </c>
      <c r="B14" s="113">
        <v>64259142</v>
      </c>
      <c r="C14" s="249">
        <v>67158311</v>
      </c>
      <c r="D14" s="225">
        <v>66475641</v>
      </c>
      <c r="E14" s="225">
        <v>78095679</v>
      </c>
      <c r="F14" s="273">
        <v>78095679</v>
      </c>
      <c r="G14" s="225">
        <v>79657592.58</v>
      </c>
      <c r="H14" s="105">
        <v>73831608.1716</v>
      </c>
    </row>
    <row r="15" spans="1:8" ht="12.75">
      <c r="A15" s="229" t="s">
        <v>27</v>
      </c>
      <c r="B15" s="113">
        <v>15456231</v>
      </c>
      <c r="C15" s="249">
        <v>17024991</v>
      </c>
      <c r="D15" s="225">
        <v>17499385</v>
      </c>
      <c r="E15" s="225">
        <v>23437280</v>
      </c>
      <c r="F15" s="273">
        <v>23437280</v>
      </c>
      <c r="G15" s="225">
        <v>23906025.6</v>
      </c>
      <c r="H15" s="105">
        <v>24384146.112000003</v>
      </c>
    </row>
    <row r="16" spans="1:8" ht="12.75">
      <c r="A16" s="230" t="s">
        <v>28</v>
      </c>
      <c r="B16" s="106"/>
      <c r="C16" s="249"/>
      <c r="D16" s="225">
        <v>2818473</v>
      </c>
      <c r="E16" s="225">
        <v>-214794</v>
      </c>
      <c r="F16" s="273">
        <v>-214794</v>
      </c>
      <c r="G16" s="225"/>
      <c r="H16" s="105"/>
    </row>
    <row r="17" spans="1:8" ht="12.75">
      <c r="A17" s="231" t="s">
        <v>29</v>
      </c>
      <c r="B17" s="106"/>
      <c r="C17" s="249">
        <v>10000000</v>
      </c>
      <c r="D17" s="101"/>
      <c r="E17" s="225"/>
      <c r="F17" s="273"/>
      <c r="G17" s="101">
        <v>10000000</v>
      </c>
      <c r="H17" s="105"/>
    </row>
    <row r="18" spans="1:8" ht="12.75">
      <c r="A18" s="2" t="s">
        <v>30</v>
      </c>
      <c r="B18" s="31">
        <v>620350313</v>
      </c>
      <c r="C18" s="251">
        <v>645708664</v>
      </c>
      <c r="D18" s="31">
        <v>621440212</v>
      </c>
      <c r="E18" s="31">
        <v>637921072</v>
      </c>
      <c r="F18" s="275">
        <v>639998322</v>
      </c>
      <c r="G18" s="31">
        <v>654723200.1531732</v>
      </c>
      <c r="H18" s="31">
        <v>658191887.9250761</v>
      </c>
    </row>
    <row r="19" spans="1:7" ht="12.75">
      <c r="A19" s="230"/>
      <c r="B19" s="106"/>
      <c r="C19" s="252"/>
      <c r="D19" s="101"/>
      <c r="E19" s="101"/>
      <c r="F19" s="276"/>
      <c r="G19" s="101"/>
    </row>
    <row r="20" spans="1:8" ht="12.75">
      <c r="A20" s="230" t="s">
        <v>31</v>
      </c>
      <c r="B20" s="116">
        <v>1117165.26</v>
      </c>
      <c r="C20" s="253">
        <v>905400</v>
      </c>
      <c r="D20" s="232">
        <v>975400</v>
      </c>
      <c r="E20" s="225">
        <v>905400</v>
      </c>
      <c r="F20" s="273">
        <v>905400</v>
      </c>
      <c r="G20" s="232">
        <v>905400</v>
      </c>
      <c r="H20" s="232">
        <v>905400</v>
      </c>
    </row>
    <row r="21" spans="1:7" ht="12.75">
      <c r="A21" s="228" t="s">
        <v>32</v>
      </c>
      <c r="B21" s="113">
        <v>24109871.27</v>
      </c>
      <c r="C21" s="249">
        <v>21118719</v>
      </c>
      <c r="D21" s="225"/>
      <c r="E21" s="225"/>
      <c r="F21" s="273"/>
      <c r="G21" s="225"/>
    </row>
    <row r="22" spans="1:7" ht="12.75">
      <c r="A22" s="228" t="s">
        <v>33</v>
      </c>
      <c r="B22" s="117">
        <v>5439948.03</v>
      </c>
      <c r="C22" s="254">
        <v>5599242.759295897</v>
      </c>
      <c r="D22" s="124"/>
      <c r="E22" s="233"/>
      <c r="F22" s="277"/>
      <c r="G22" s="124"/>
    </row>
    <row r="23" spans="1:7" ht="12.75">
      <c r="A23" s="228" t="s">
        <v>34</v>
      </c>
      <c r="B23" s="113">
        <v>-18080133</v>
      </c>
      <c r="C23" s="249">
        <v>-15054688</v>
      </c>
      <c r="D23" s="225"/>
      <c r="E23" s="225"/>
      <c r="F23" s="273"/>
      <c r="G23" s="225"/>
    </row>
    <row r="24" spans="1:8" ht="12.75">
      <c r="A24" s="2" t="s">
        <v>35</v>
      </c>
      <c r="B24" s="20">
        <v>632937164.56</v>
      </c>
      <c r="C24" s="248">
        <v>658277337.759296</v>
      </c>
      <c r="D24" s="20">
        <v>622415612</v>
      </c>
      <c r="E24" s="20">
        <v>638826472</v>
      </c>
      <c r="F24" s="272">
        <v>640903722</v>
      </c>
      <c r="G24" s="20">
        <v>655628600.1531732</v>
      </c>
      <c r="H24" s="20">
        <v>659097287.9250761</v>
      </c>
    </row>
    <row r="25" spans="1:7" ht="12.75">
      <c r="A25" s="7"/>
      <c r="B25" s="113"/>
      <c r="C25" s="249"/>
      <c r="D25" s="225"/>
      <c r="E25" s="225"/>
      <c r="F25" s="273"/>
      <c r="G25" s="225"/>
    </row>
    <row r="26" spans="1:8" ht="12.75">
      <c r="A26" s="2" t="s">
        <v>36</v>
      </c>
      <c r="B26" s="114"/>
      <c r="C26" s="250"/>
      <c r="D26" s="226"/>
      <c r="E26" s="226"/>
      <c r="F26" s="274"/>
      <c r="G26" s="226"/>
      <c r="H26" s="227"/>
    </row>
    <row r="27" spans="1:8" ht="12.75">
      <c r="A27" s="8" t="s">
        <v>37</v>
      </c>
      <c r="B27" s="113">
        <v>-629075355.16</v>
      </c>
      <c r="C27" s="254">
        <v>-658749710</v>
      </c>
      <c r="D27" s="124">
        <v>-658749710</v>
      </c>
      <c r="E27" s="101">
        <v>-643204188</v>
      </c>
      <c r="F27" s="276">
        <v>-643204188</v>
      </c>
      <c r="G27" s="101">
        <v>-691318590.8197083</v>
      </c>
      <c r="H27" s="101">
        <v>-722121303.4846773</v>
      </c>
    </row>
    <row r="28" spans="1:8" ht="12.75">
      <c r="A28" s="228" t="s">
        <v>38</v>
      </c>
      <c r="B28" s="113">
        <v>18080133</v>
      </c>
      <c r="C28" s="249">
        <v>15054688</v>
      </c>
      <c r="D28" s="225"/>
      <c r="E28" s="101"/>
      <c r="F28" s="276"/>
      <c r="G28" s="225"/>
      <c r="H28" s="225"/>
    </row>
    <row r="29" spans="1:8" ht="12.75">
      <c r="A29" s="8" t="s">
        <v>39</v>
      </c>
      <c r="B29" s="102">
        <v>-610995222.16</v>
      </c>
      <c r="C29" s="255">
        <v>-643695022</v>
      </c>
      <c r="D29" s="123">
        <v>-658749710</v>
      </c>
      <c r="E29" s="123">
        <v>-643204188</v>
      </c>
      <c r="F29" s="286">
        <v>-626910451</v>
      </c>
      <c r="G29" s="123">
        <v>-691318590.8197083</v>
      </c>
      <c r="H29" s="123">
        <v>-722121303.4846773</v>
      </c>
    </row>
    <row r="30" spans="1:8" ht="12.75">
      <c r="A30" s="228"/>
      <c r="B30" s="113"/>
      <c r="C30" s="249"/>
      <c r="D30" s="225"/>
      <c r="E30" s="225"/>
      <c r="F30" s="273"/>
      <c r="G30" s="225"/>
      <c r="H30" s="126"/>
    </row>
    <row r="31" spans="1:8" ht="12.75">
      <c r="A31" s="228" t="s">
        <v>40</v>
      </c>
      <c r="B31" s="118">
        <v>-573768426.66</v>
      </c>
      <c r="C31" s="256">
        <v>-610374716</v>
      </c>
      <c r="D31" s="101">
        <v>-625429404</v>
      </c>
      <c r="E31" s="123">
        <v>-618910181</v>
      </c>
      <c r="F31" s="286">
        <v>-605722500.8416</v>
      </c>
      <c r="G31" s="123">
        <v>-678104519.4133084</v>
      </c>
      <c r="H31" s="123">
        <v>-709334019.3664213</v>
      </c>
    </row>
    <row r="32" spans="1:8" ht="12.75">
      <c r="A32" s="228" t="s">
        <v>41</v>
      </c>
      <c r="B32" s="106">
        <v>-17595040.5</v>
      </c>
      <c r="C32" s="252">
        <v>-19208637</v>
      </c>
      <c r="D32" s="101">
        <v>-19208637</v>
      </c>
      <c r="E32" s="225">
        <v>-19820763</v>
      </c>
      <c r="F32" s="273">
        <v>-19820763</v>
      </c>
      <c r="G32" s="225">
        <v>-20760267.166200005</v>
      </c>
      <c r="H32" s="225">
        <v>-21590677.85284801</v>
      </c>
    </row>
    <row r="33" spans="1:8" ht="12.75">
      <c r="A33" s="228" t="s">
        <v>122</v>
      </c>
      <c r="B33" s="113">
        <v>-17588755</v>
      </c>
      <c r="C33" s="249">
        <v>-12068669</v>
      </c>
      <c r="D33" s="225">
        <v>-18040563</v>
      </c>
      <c r="E33" s="123">
        <v>-12957215</v>
      </c>
      <c r="F33" s="286">
        <v>-7000713</v>
      </c>
      <c r="G33" s="123">
        <v>-13557166.991</v>
      </c>
      <c r="H33" s="123">
        <v>-13787453.670640001</v>
      </c>
    </row>
    <row r="34" spans="1:7" ht="12.75">
      <c r="A34" s="228"/>
      <c r="B34" s="113"/>
      <c r="C34" s="249"/>
      <c r="D34" s="225"/>
      <c r="E34" s="225"/>
      <c r="F34" s="273"/>
      <c r="G34" s="225"/>
    </row>
    <row r="35" spans="1:7" ht="12.75">
      <c r="A35" s="228" t="s">
        <v>42</v>
      </c>
      <c r="B35" s="106"/>
      <c r="C35" s="252"/>
      <c r="D35" s="233">
        <v>-145916</v>
      </c>
      <c r="E35" s="101"/>
      <c r="F35" s="276"/>
      <c r="G35" s="233"/>
    </row>
    <row r="36" spans="1:7" ht="12.75">
      <c r="A36" s="228" t="s">
        <v>43</v>
      </c>
      <c r="B36" s="106"/>
      <c r="C36" s="252"/>
      <c r="D36" s="233">
        <v>-4441641</v>
      </c>
      <c r="E36" s="101"/>
      <c r="F36" s="276"/>
      <c r="G36" s="233"/>
    </row>
    <row r="37" spans="1:7" ht="12.75">
      <c r="A37" s="230"/>
      <c r="B37" s="106"/>
      <c r="C37" s="252"/>
      <c r="D37" s="233"/>
      <c r="E37" s="101"/>
      <c r="F37" s="276"/>
      <c r="G37" s="233"/>
    </row>
    <row r="38" spans="1:7" ht="12.75">
      <c r="A38" s="230" t="s">
        <v>44</v>
      </c>
      <c r="B38" s="119"/>
      <c r="C38" s="257"/>
      <c r="D38" s="234"/>
      <c r="E38" s="234"/>
      <c r="F38" s="278"/>
      <c r="G38" s="234"/>
    </row>
    <row r="39" spans="1:8" s="235" customFormat="1" ht="12.75">
      <c r="A39" s="228" t="s">
        <v>45</v>
      </c>
      <c r="B39" s="106"/>
      <c r="C39" s="252">
        <v>-1043000</v>
      </c>
      <c r="E39" s="234">
        <v>-1043000</v>
      </c>
      <c r="F39" s="278"/>
      <c r="G39" s="234">
        <v>-1087536.1</v>
      </c>
      <c r="H39" s="101">
        <v>-1126687.3996</v>
      </c>
    </row>
    <row r="40" spans="1:7" ht="12.75">
      <c r="A40" s="228" t="s">
        <v>46</v>
      </c>
      <c r="B40" s="119">
        <v>-1043000</v>
      </c>
      <c r="C40" s="257"/>
      <c r="D40" s="101">
        <v>-1043000</v>
      </c>
      <c r="E40" s="101"/>
      <c r="F40" s="276"/>
      <c r="G40" s="234"/>
    </row>
    <row r="41" spans="1:7" ht="12.75">
      <c r="A41" s="228"/>
      <c r="B41" s="113"/>
      <c r="C41" s="249"/>
      <c r="D41" s="225"/>
      <c r="E41" s="225"/>
      <c r="F41" s="273"/>
      <c r="G41" s="225"/>
    </row>
    <row r="42" spans="1:7" ht="12.75">
      <c r="A42" s="230" t="s">
        <v>47</v>
      </c>
      <c r="B42" s="113"/>
      <c r="C42" s="249"/>
      <c r="D42" s="225"/>
      <c r="E42" s="225"/>
      <c r="F42" s="273"/>
      <c r="G42" s="101"/>
    </row>
    <row r="43" spans="1:8" ht="12.75">
      <c r="A43" s="228" t="s">
        <v>45</v>
      </c>
      <c r="B43" s="102"/>
      <c r="C43" s="255">
        <v>-1000000</v>
      </c>
      <c r="E43" s="225">
        <v>-1000000</v>
      </c>
      <c r="F43" s="273">
        <v>-100000</v>
      </c>
      <c r="G43" s="101">
        <v>-1000000</v>
      </c>
      <c r="H43" s="123">
        <v>-1000000</v>
      </c>
    </row>
    <row r="44" spans="1:7" ht="12.75">
      <c r="A44" s="230" t="s">
        <v>46</v>
      </c>
      <c r="B44" s="106">
        <v>-1000000</v>
      </c>
      <c r="C44" s="252"/>
      <c r="D44" s="101">
        <v>-1000000</v>
      </c>
      <c r="E44" s="101"/>
      <c r="F44" s="276"/>
      <c r="G44" s="101"/>
    </row>
    <row r="45" spans="1:7" ht="12.75">
      <c r="A45" s="230"/>
      <c r="B45" s="106"/>
      <c r="C45" s="252"/>
      <c r="D45" s="101"/>
      <c r="E45" s="101"/>
      <c r="F45" s="276"/>
      <c r="G45" s="101"/>
    </row>
    <row r="46" spans="1:8" ht="12.75">
      <c r="A46" s="231" t="s">
        <v>131</v>
      </c>
      <c r="B46" s="106"/>
      <c r="C46" s="252"/>
      <c r="D46" s="101"/>
      <c r="E46" s="225">
        <v>10526971</v>
      </c>
      <c r="F46" s="273">
        <v>7927101</v>
      </c>
      <c r="G46" s="101">
        <v>23190898.850800004</v>
      </c>
      <c r="H46" s="101">
        <v>24717534.804832004</v>
      </c>
    </row>
    <row r="47" spans="1:8" ht="12.75">
      <c r="A47" s="236"/>
      <c r="B47" s="120"/>
      <c r="C47" s="258"/>
      <c r="D47" s="237"/>
      <c r="E47" s="237"/>
      <c r="F47" s="279"/>
      <c r="G47" s="237"/>
      <c r="H47" s="238"/>
    </row>
    <row r="48" spans="1:8" ht="12.75">
      <c r="A48" s="96" t="s">
        <v>124</v>
      </c>
      <c r="B48" s="113"/>
      <c r="C48" s="249"/>
      <c r="D48" s="225"/>
      <c r="E48" s="225"/>
      <c r="F48" s="273"/>
      <c r="G48" s="225"/>
      <c r="H48" s="239"/>
    </row>
    <row r="49" spans="1:7" ht="12.75">
      <c r="A49" s="228" t="s">
        <v>48</v>
      </c>
      <c r="B49" s="119"/>
      <c r="C49" s="257"/>
      <c r="D49" s="234">
        <v>-2818473</v>
      </c>
      <c r="E49" s="101"/>
      <c r="F49" s="276"/>
      <c r="G49" s="234"/>
    </row>
    <row r="50" spans="1:8" ht="12.75">
      <c r="A50" s="187" t="s">
        <v>123</v>
      </c>
      <c r="B50" s="78"/>
      <c r="C50" s="259"/>
      <c r="D50" s="119">
        <v>-2377311</v>
      </c>
      <c r="E50" s="234">
        <v>-2356284.1583999996</v>
      </c>
      <c r="F50" s="278">
        <v>-2356284.1583999996</v>
      </c>
      <c r="G50" s="234">
        <v>-2467972.02750816</v>
      </c>
      <c r="H50" s="234">
        <v>-2566690.9086084864</v>
      </c>
    </row>
    <row r="51" spans="1:8" s="235" customFormat="1" ht="12.75">
      <c r="A51" s="290" t="s">
        <v>283</v>
      </c>
      <c r="B51" s="78"/>
      <c r="C51" s="259"/>
      <c r="D51" s="119"/>
      <c r="E51" s="234">
        <v>-13097494</v>
      </c>
      <c r="F51" s="278">
        <v>-13097494</v>
      </c>
      <c r="G51" s="234"/>
      <c r="H51" s="234"/>
    </row>
    <row r="52" spans="1:8" s="235" customFormat="1" ht="12.75">
      <c r="A52" s="290" t="s">
        <v>284</v>
      </c>
      <c r="B52" s="78"/>
      <c r="C52" s="259"/>
      <c r="D52" s="119"/>
      <c r="E52" s="234">
        <v>8731037</v>
      </c>
      <c r="F52" s="278">
        <v>8731037</v>
      </c>
      <c r="G52" s="234"/>
      <c r="H52" s="234"/>
    </row>
    <row r="53" spans="1:8" s="235" customFormat="1" ht="12.75">
      <c r="A53" s="231" t="s">
        <v>285</v>
      </c>
      <c r="B53" s="106"/>
      <c r="C53" s="252"/>
      <c r="D53" s="101"/>
      <c r="E53" s="101">
        <v>1730352</v>
      </c>
      <c r="F53" s="276">
        <v>1730352</v>
      </c>
      <c r="G53" s="234">
        <v>1772590</v>
      </c>
      <c r="H53" s="234">
        <v>1836403.24</v>
      </c>
    </row>
    <row r="54" spans="1:8" s="235" customFormat="1" ht="12.75">
      <c r="A54" s="230" t="s">
        <v>49</v>
      </c>
      <c r="B54" s="106"/>
      <c r="C54" s="252">
        <v>4849940.545</v>
      </c>
      <c r="D54" s="101">
        <v>4849940.545</v>
      </c>
      <c r="E54" s="101">
        <v>2798814</v>
      </c>
      <c r="F54" s="276">
        <v>2798814</v>
      </c>
      <c r="G54" s="101">
        <v>2931477.7836</v>
      </c>
      <c r="H54" s="101">
        <v>3048736.8949440005</v>
      </c>
    </row>
    <row r="55" spans="1:8" s="235" customFormat="1" ht="12.75">
      <c r="A55" s="96" t="s">
        <v>136</v>
      </c>
      <c r="B55" s="291"/>
      <c r="C55" s="292"/>
      <c r="D55" s="291"/>
      <c r="E55" s="81"/>
      <c r="F55" s="280"/>
      <c r="G55" s="291"/>
      <c r="H55" s="291"/>
    </row>
    <row r="56" spans="1:8" s="235" customFormat="1" ht="12.75">
      <c r="A56" s="96" t="s">
        <v>134</v>
      </c>
      <c r="B56" s="291"/>
      <c r="C56" s="292"/>
      <c r="D56" s="291"/>
      <c r="E56" s="81"/>
      <c r="F56" s="280"/>
      <c r="G56" s="291">
        <v>16042030.846600004</v>
      </c>
      <c r="H56" s="291">
        <v>31551532.760464005</v>
      </c>
    </row>
    <row r="57" spans="1:8" s="235" customFormat="1" ht="12.75">
      <c r="A57" s="96" t="s">
        <v>135</v>
      </c>
      <c r="B57" s="291"/>
      <c r="C57" s="292"/>
      <c r="D57" s="291"/>
      <c r="E57" s="50"/>
      <c r="F57" s="281"/>
      <c r="G57" s="291">
        <v>12182496.483000003</v>
      </c>
      <c r="H57" s="291">
        <v>17742229.942320004</v>
      </c>
    </row>
    <row r="58" spans="1:8" s="235" customFormat="1" ht="12.75">
      <c r="A58" s="96" t="s">
        <v>128</v>
      </c>
      <c r="B58" s="293"/>
      <c r="C58" s="294"/>
      <c r="D58" s="293"/>
      <c r="E58" s="293"/>
      <c r="F58" s="282"/>
      <c r="G58" s="293">
        <v>10800000</v>
      </c>
      <c r="H58" s="291">
        <v>11100000</v>
      </c>
    </row>
    <row r="59" spans="1:9" ht="12.75">
      <c r="A59" s="9" t="s">
        <v>126</v>
      </c>
      <c r="B59" s="31">
        <v>-610995222.16</v>
      </c>
      <c r="C59" s="251">
        <v>-638845081.455</v>
      </c>
      <c r="D59" s="31">
        <v>-669655004.455</v>
      </c>
      <c r="E59" s="31">
        <v>-645397763.1584</v>
      </c>
      <c r="F59" s="275">
        <v>-626910451</v>
      </c>
      <c r="G59" s="31">
        <v>-650057967.7340165</v>
      </c>
      <c r="H59" s="31">
        <v>-659409091.555558</v>
      </c>
      <c r="I59" s="105"/>
    </row>
    <row r="60" spans="1:10" ht="12.75">
      <c r="A60" s="240"/>
      <c r="B60" s="50"/>
      <c r="C60" s="260"/>
      <c r="D60" s="50"/>
      <c r="E60" s="50"/>
      <c r="F60" s="281"/>
      <c r="G60" s="50"/>
      <c r="I60" s="81"/>
      <c r="J60" s="81"/>
    </row>
    <row r="61" spans="1:7" ht="12.75">
      <c r="A61" s="230" t="s">
        <v>50</v>
      </c>
      <c r="B61" s="118">
        <v>-24433553.81</v>
      </c>
      <c r="C61" s="254">
        <v>-21913265</v>
      </c>
      <c r="D61" s="124"/>
      <c r="E61" s="233"/>
      <c r="F61" s="277"/>
      <c r="G61" s="124"/>
    </row>
    <row r="62" spans="1:8" ht="12.75">
      <c r="A62" s="230" t="s">
        <v>51</v>
      </c>
      <c r="B62" s="121">
        <v>-624522.62</v>
      </c>
      <c r="C62" s="254">
        <v>-932449.6341989061</v>
      </c>
      <c r="D62" s="124">
        <v>-932450</v>
      </c>
      <c r="E62" s="124">
        <v>-930559</v>
      </c>
      <c r="F62" s="277">
        <v>-930559</v>
      </c>
      <c r="G62" s="124">
        <v>-958096</v>
      </c>
      <c r="H62" s="124">
        <v>-861930</v>
      </c>
    </row>
    <row r="63" spans="1:8" ht="12.75">
      <c r="A63" s="2" t="s">
        <v>52</v>
      </c>
      <c r="B63" s="14">
        <v>-636053298.5899999</v>
      </c>
      <c r="C63" s="261">
        <v>-661690796.089199</v>
      </c>
      <c r="D63" s="14">
        <v>-670587454.455</v>
      </c>
      <c r="E63" s="14">
        <v>-646328322.1584</v>
      </c>
      <c r="F63" s="283">
        <v>-627841010</v>
      </c>
      <c r="G63" s="222">
        <v>-651016063.7340165</v>
      </c>
      <c r="H63" s="222">
        <v>-660271021.555558</v>
      </c>
    </row>
    <row r="64" spans="1:4" ht="12.75">
      <c r="A64" s="228" t="s">
        <v>101</v>
      </c>
      <c r="B64" s="87"/>
      <c r="D64" s="124">
        <v>-15000000</v>
      </c>
    </row>
    <row r="65" spans="1:4" ht="12.75">
      <c r="A65" s="228" t="s">
        <v>102</v>
      </c>
      <c r="B65" s="87"/>
      <c r="D65" s="124">
        <v>-8285041</v>
      </c>
    </row>
    <row r="66" spans="1:7" ht="12.75">
      <c r="A66" s="228" t="s">
        <v>120</v>
      </c>
      <c r="B66" s="122"/>
      <c r="D66" s="124"/>
      <c r="G66" s="124"/>
    </row>
    <row r="67" spans="1:8" ht="12.75">
      <c r="A67" s="2" t="s">
        <v>53</v>
      </c>
      <c r="B67" s="14">
        <v>140648438.92999995</v>
      </c>
      <c r="C67" s="261">
        <v>109682075.7284764</v>
      </c>
      <c r="D67" s="14">
        <v>69191555.4749999</v>
      </c>
      <c r="E67" s="14">
        <v>61689705.316599846</v>
      </c>
      <c r="F67" s="283">
        <v>82254267.4749999</v>
      </c>
      <c r="G67" s="222">
        <v>86866803.89415658</v>
      </c>
      <c r="H67" s="222">
        <v>85693070.26367474</v>
      </c>
    </row>
    <row r="68" spans="1:4" ht="12.75">
      <c r="A68" s="2"/>
      <c r="B68" s="87"/>
      <c r="D68" s="124"/>
    </row>
    <row r="69" spans="1:8" ht="12.75">
      <c r="A69" s="2" t="s">
        <v>54</v>
      </c>
      <c r="B69" s="125"/>
      <c r="C69" s="263"/>
      <c r="D69" s="125"/>
      <c r="E69" s="227"/>
      <c r="F69" s="285"/>
      <c r="G69" s="125"/>
      <c r="H69" s="227"/>
    </row>
    <row r="70" spans="1:2" ht="12.75">
      <c r="A70" s="228" t="s">
        <v>55</v>
      </c>
      <c r="B70" s="124">
        <v>-4534419</v>
      </c>
    </row>
    <row r="71" spans="1:2" ht="12.75">
      <c r="A71" s="228" t="s">
        <v>103</v>
      </c>
      <c r="B71" s="124">
        <v>-4408986</v>
      </c>
    </row>
    <row r="72" spans="1:4" ht="12.75">
      <c r="A72" s="228" t="s">
        <v>105</v>
      </c>
      <c r="B72" s="124">
        <v>-32655</v>
      </c>
      <c r="D72" s="124">
        <v>-49863</v>
      </c>
    </row>
    <row r="73" spans="1:2" ht="12.75">
      <c r="A73" s="228" t="s">
        <v>104</v>
      </c>
      <c r="B73" s="124">
        <v>-5688203</v>
      </c>
    </row>
    <row r="74" spans="1:2" ht="12.75">
      <c r="A74" s="228" t="s">
        <v>56</v>
      </c>
      <c r="B74" s="124">
        <v>-588000</v>
      </c>
    </row>
    <row r="75" spans="1:2" ht="12.75">
      <c r="A75" s="11" t="s">
        <v>57</v>
      </c>
      <c r="B75" s="126"/>
    </row>
    <row r="76" spans="1:2" ht="12.75">
      <c r="A76" s="228" t="s">
        <v>58</v>
      </c>
      <c r="B76" s="126"/>
    </row>
    <row r="77" spans="1:8" ht="12.75">
      <c r="A77" s="228" t="s">
        <v>59</v>
      </c>
      <c r="B77" s="101">
        <v>-3800000</v>
      </c>
      <c r="C77" s="252">
        <v>-3800000</v>
      </c>
      <c r="D77" s="101">
        <v>-3800000</v>
      </c>
      <c r="E77" s="101">
        <v>-3800000</v>
      </c>
      <c r="F77" s="276">
        <v>-3800000</v>
      </c>
      <c r="G77" s="101">
        <v>-3800000</v>
      </c>
      <c r="H77" s="101">
        <v>-3800000</v>
      </c>
    </row>
    <row r="78" spans="1:8" ht="12.75">
      <c r="A78" s="230" t="s">
        <v>60</v>
      </c>
      <c r="B78" s="101">
        <v>-562000</v>
      </c>
      <c r="C78" s="252">
        <v>-502386</v>
      </c>
      <c r="D78" s="101">
        <v>-7000</v>
      </c>
      <c r="E78" s="101">
        <v>-7000</v>
      </c>
      <c r="F78" s="276">
        <v>-7000</v>
      </c>
      <c r="G78" s="101">
        <v>-7000</v>
      </c>
      <c r="H78" s="101">
        <v>-7000</v>
      </c>
    </row>
    <row r="79" spans="1:8" ht="12.75">
      <c r="A79" s="230" t="s">
        <v>61</v>
      </c>
      <c r="B79" s="101">
        <v>-65000</v>
      </c>
      <c r="C79" s="264">
        <v>-66000</v>
      </c>
      <c r="D79" s="101">
        <v>-65000</v>
      </c>
      <c r="E79" s="101">
        <v>-65000</v>
      </c>
      <c r="F79" s="276">
        <v>-65000</v>
      </c>
      <c r="G79" s="269">
        <v>-65000</v>
      </c>
      <c r="H79" s="101">
        <v>-65000</v>
      </c>
    </row>
    <row r="80" spans="1:8" ht="12.75">
      <c r="A80" s="230" t="s">
        <v>62</v>
      </c>
      <c r="B80" s="101">
        <v>-780000</v>
      </c>
      <c r="C80" s="264">
        <v>-147000</v>
      </c>
      <c r="D80" s="101">
        <v>-180000</v>
      </c>
      <c r="E80" s="101">
        <v>-180000</v>
      </c>
      <c r="F80" s="276">
        <v>-180000</v>
      </c>
      <c r="G80" s="269">
        <v>-180000</v>
      </c>
      <c r="H80" s="101">
        <v>-180000</v>
      </c>
    </row>
    <row r="81" spans="1:8" ht="12.75">
      <c r="A81" s="230" t="s">
        <v>63</v>
      </c>
      <c r="B81" s="101">
        <v>-95000</v>
      </c>
      <c r="C81" s="264">
        <v>-195000</v>
      </c>
      <c r="D81" s="101">
        <v>-95000</v>
      </c>
      <c r="E81" s="101">
        <v>-95000</v>
      </c>
      <c r="F81" s="276">
        <v>-95000</v>
      </c>
      <c r="G81" s="269">
        <v>-95000</v>
      </c>
      <c r="H81" s="101">
        <v>-95000</v>
      </c>
    </row>
    <row r="82" spans="1:8" ht="12.75">
      <c r="A82" s="228" t="s">
        <v>64</v>
      </c>
      <c r="B82" s="101">
        <v>-105000</v>
      </c>
      <c r="C82" s="252">
        <v>-93000</v>
      </c>
      <c r="D82" s="101">
        <v>-105000</v>
      </c>
      <c r="E82" s="101">
        <v>-105000</v>
      </c>
      <c r="F82" s="276">
        <v>-105000</v>
      </c>
      <c r="G82" s="101">
        <v>-105000</v>
      </c>
      <c r="H82" s="101">
        <v>-105000</v>
      </c>
    </row>
    <row r="83" spans="1:8" ht="12.75">
      <c r="A83" s="230" t="s">
        <v>65</v>
      </c>
      <c r="B83" s="101">
        <v>-292000</v>
      </c>
      <c r="C83" s="264">
        <v>-292000</v>
      </c>
      <c r="D83" s="101">
        <v>-292000</v>
      </c>
      <c r="E83" s="101">
        <v>-292000</v>
      </c>
      <c r="F83" s="276">
        <v>-292000</v>
      </c>
      <c r="G83" s="269">
        <v>-292000</v>
      </c>
      <c r="H83" s="101">
        <v>-292000</v>
      </c>
    </row>
    <row r="84" spans="1:8" ht="12.75">
      <c r="A84" s="228" t="s">
        <v>66</v>
      </c>
      <c r="B84" s="101">
        <v>-25152</v>
      </c>
      <c r="C84" s="252">
        <v>-25152</v>
      </c>
      <c r="D84" s="101">
        <v>-25152</v>
      </c>
      <c r="E84" s="101">
        <v>-25152</v>
      </c>
      <c r="F84" s="276">
        <v>-25152</v>
      </c>
      <c r="G84" s="101">
        <v>-25152</v>
      </c>
      <c r="H84" s="101">
        <v>-25152</v>
      </c>
    </row>
    <row r="85" spans="1:7" ht="12.75">
      <c r="A85" s="228" t="s">
        <v>67</v>
      </c>
      <c r="B85" s="123"/>
      <c r="C85" s="255"/>
      <c r="D85" s="123"/>
      <c r="E85" s="123"/>
      <c r="F85" s="286"/>
      <c r="G85" s="123"/>
    </row>
    <row r="86" spans="1:7" ht="12.75">
      <c r="A86" s="56" t="s">
        <v>68</v>
      </c>
      <c r="B86" s="123"/>
      <c r="C86" s="255"/>
      <c r="D86" s="123"/>
      <c r="E86" s="123"/>
      <c r="F86" s="286"/>
      <c r="G86" s="123"/>
    </row>
    <row r="87" spans="1:8" ht="12.75">
      <c r="A87" s="230" t="s">
        <v>69</v>
      </c>
      <c r="B87" s="101">
        <v>-954000</v>
      </c>
      <c r="C87" s="255">
        <v>-698938.3058010938</v>
      </c>
      <c r="D87" s="101">
        <v>-979921</v>
      </c>
      <c r="E87" s="101">
        <v>-954762</v>
      </c>
      <c r="F87" s="276">
        <v>-954762</v>
      </c>
      <c r="G87" s="101">
        <v>-954762</v>
      </c>
      <c r="H87" s="101">
        <v>-954762</v>
      </c>
    </row>
    <row r="88" spans="1:8" ht="12.75">
      <c r="A88" s="230" t="s">
        <v>70</v>
      </c>
      <c r="B88" s="101">
        <v>-15903000</v>
      </c>
      <c r="C88" s="255">
        <v>-15000000</v>
      </c>
      <c r="D88" s="123"/>
      <c r="E88" s="123"/>
      <c r="F88" s="286"/>
      <c r="G88" s="123"/>
      <c r="H88" s="105"/>
    </row>
    <row r="89" spans="1:8" ht="12.75">
      <c r="A89" s="230" t="s">
        <v>71</v>
      </c>
      <c r="B89" s="101">
        <v>-2294000</v>
      </c>
      <c r="C89" s="254">
        <v>-1242799.754999999</v>
      </c>
      <c r="D89" s="124"/>
      <c r="E89" s="233"/>
      <c r="F89" s="277"/>
      <c r="G89" s="124"/>
      <c r="H89" s="105"/>
    </row>
    <row r="90" spans="1:8" ht="12.75">
      <c r="A90" s="228" t="s">
        <v>72</v>
      </c>
      <c r="B90" s="101">
        <v>-10537787.91</v>
      </c>
      <c r="C90" s="255">
        <v>-307857</v>
      </c>
      <c r="D90" s="101">
        <v>-307857</v>
      </c>
      <c r="E90" s="101"/>
      <c r="F90" s="276"/>
      <c r="G90" s="101"/>
      <c r="H90" s="101"/>
    </row>
    <row r="91" spans="1:7" ht="12.75">
      <c r="A91" s="56" t="s">
        <v>73</v>
      </c>
      <c r="B91" s="123"/>
      <c r="C91" s="255"/>
      <c r="D91" s="123"/>
      <c r="E91" s="123"/>
      <c r="F91" s="286"/>
      <c r="G91" s="123"/>
    </row>
    <row r="92" spans="1:8" ht="12.75">
      <c r="A92" s="228" t="s">
        <v>74</v>
      </c>
      <c r="B92" s="101">
        <v>-1000000</v>
      </c>
      <c r="C92" s="255">
        <v>-3000000</v>
      </c>
      <c r="D92" s="101">
        <v>-719539</v>
      </c>
      <c r="E92" s="123">
        <v>-16103974</v>
      </c>
      <c r="F92" s="286">
        <v>-17146974</v>
      </c>
      <c r="G92" s="123">
        <v>-13093451.022199998</v>
      </c>
      <c r="H92" s="101">
        <v>-13564815.258999199</v>
      </c>
    </row>
    <row r="93" spans="1:7" ht="12.75">
      <c r="A93" s="228" t="s">
        <v>75</v>
      </c>
      <c r="B93" s="101">
        <v>-1400000</v>
      </c>
      <c r="C93" s="255"/>
      <c r="D93" s="123"/>
      <c r="E93" s="123"/>
      <c r="F93" s="286"/>
      <c r="G93" s="123"/>
    </row>
    <row r="94" spans="1:7" ht="12.75">
      <c r="A94" s="228" t="s">
        <v>76</v>
      </c>
      <c r="B94" s="101">
        <v>-250000</v>
      </c>
      <c r="C94" s="255"/>
      <c r="D94" s="123"/>
      <c r="E94" s="123"/>
      <c r="F94" s="286"/>
      <c r="G94" s="123"/>
    </row>
    <row r="95" spans="1:8" ht="12.75">
      <c r="A95" s="240" t="s">
        <v>77</v>
      </c>
      <c r="B95" s="123"/>
      <c r="C95" s="255"/>
      <c r="D95" s="123"/>
      <c r="E95" s="123">
        <v>-900000</v>
      </c>
      <c r="F95" s="286"/>
      <c r="G95" s="123">
        <v>-900000</v>
      </c>
      <c r="H95" s="241">
        <v>-900000</v>
      </c>
    </row>
    <row r="96" spans="1:7" ht="12.75">
      <c r="A96" s="240" t="s">
        <v>11</v>
      </c>
      <c r="B96" s="101">
        <v>-6000000</v>
      </c>
      <c r="C96" s="255"/>
      <c r="D96" s="123"/>
      <c r="E96" s="123"/>
      <c r="F96" s="286"/>
      <c r="G96" s="123"/>
    </row>
    <row r="97" spans="1:7" ht="12.75">
      <c r="A97" s="240" t="s">
        <v>12</v>
      </c>
      <c r="B97" s="101">
        <v>-2230000</v>
      </c>
      <c r="C97" s="255"/>
      <c r="D97" s="123"/>
      <c r="E97" s="123"/>
      <c r="F97" s="286"/>
      <c r="G97" s="123"/>
    </row>
    <row r="98" spans="1:7" ht="12.75">
      <c r="A98" s="240" t="s">
        <v>13</v>
      </c>
      <c r="B98" s="101">
        <v>-2320000</v>
      </c>
      <c r="C98" s="255">
        <v>-900000</v>
      </c>
      <c r="D98" s="101"/>
      <c r="E98" s="101"/>
      <c r="F98" s="276"/>
      <c r="G98" s="101"/>
    </row>
    <row r="99" spans="1:7" ht="12.75">
      <c r="A99" s="240" t="s">
        <v>14</v>
      </c>
      <c r="B99" s="57"/>
      <c r="C99" s="255"/>
      <c r="D99" s="123"/>
      <c r="E99" s="123"/>
      <c r="F99" s="286"/>
      <c r="G99" s="123"/>
    </row>
    <row r="100" spans="1:7" ht="12.75">
      <c r="A100" s="240" t="s">
        <v>15</v>
      </c>
      <c r="B100" s="101">
        <v>-2000000</v>
      </c>
      <c r="C100" s="255"/>
      <c r="D100" s="123"/>
      <c r="E100" s="123"/>
      <c r="F100" s="286"/>
      <c r="G100" s="123"/>
    </row>
    <row r="101" spans="1:7" ht="12.75">
      <c r="A101" s="240" t="s">
        <v>16</v>
      </c>
      <c r="B101" s="101">
        <v>-5592000</v>
      </c>
      <c r="C101" s="255"/>
      <c r="D101" s="123"/>
      <c r="E101" s="123"/>
      <c r="F101" s="286"/>
      <c r="G101" s="123"/>
    </row>
    <row r="102" spans="1:8" ht="12.75">
      <c r="A102" s="240" t="s">
        <v>17</v>
      </c>
      <c r="B102" s="57"/>
      <c r="C102" s="255">
        <v>-2511647</v>
      </c>
      <c r="D102" s="123">
        <v>-1074172</v>
      </c>
      <c r="E102" s="101"/>
      <c r="F102" s="276"/>
      <c r="G102" s="101"/>
      <c r="H102" s="241"/>
    </row>
    <row r="103" spans="1:8" ht="12.75">
      <c r="A103" s="240" t="s">
        <v>78</v>
      </c>
      <c r="B103" s="57"/>
      <c r="C103" s="255">
        <v>-359199</v>
      </c>
      <c r="D103" s="101">
        <v>-359199</v>
      </c>
      <c r="E103" s="101"/>
      <c r="F103" s="276"/>
      <c r="G103" s="101"/>
      <c r="H103" s="241"/>
    </row>
    <row r="104" spans="1:8" s="235" customFormat="1" ht="12.75">
      <c r="A104" s="240" t="s">
        <v>108</v>
      </c>
      <c r="B104" s="57"/>
      <c r="C104" s="255"/>
      <c r="D104" s="101"/>
      <c r="E104" s="101">
        <v>-1500000</v>
      </c>
      <c r="F104" s="276">
        <v>-1500000</v>
      </c>
      <c r="G104" s="101">
        <v>-1500000</v>
      </c>
      <c r="H104" s="241">
        <v>-1500000</v>
      </c>
    </row>
    <row r="105" spans="1:8" s="235" customFormat="1" ht="12.75">
      <c r="A105" s="240" t="s">
        <v>107</v>
      </c>
      <c r="B105" s="57"/>
      <c r="C105" s="255"/>
      <c r="D105" s="101"/>
      <c r="E105" s="123"/>
      <c r="F105" s="286"/>
      <c r="G105" s="123"/>
      <c r="H105" s="241"/>
    </row>
    <row r="106" spans="1:8" ht="12.75">
      <c r="A106" s="240" t="s">
        <v>79</v>
      </c>
      <c r="B106" s="101">
        <v>-9450000</v>
      </c>
      <c r="C106" s="255">
        <v>-24675000</v>
      </c>
      <c r="D106" s="101">
        <v>-19877575</v>
      </c>
      <c r="E106" s="101"/>
      <c r="F106" s="276"/>
      <c r="G106" s="101"/>
      <c r="H106" s="241"/>
    </row>
    <row r="107" spans="1:7" ht="12.75">
      <c r="A107" s="56" t="s">
        <v>80</v>
      </c>
      <c r="B107" s="57"/>
      <c r="C107" s="255"/>
      <c r="D107" s="123"/>
      <c r="E107" s="123"/>
      <c r="F107" s="286"/>
      <c r="G107" s="123"/>
    </row>
    <row r="108" spans="1:8" ht="12.75">
      <c r="A108" s="231" t="s">
        <v>316</v>
      </c>
      <c r="B108" s="101">
        <v>-7738000</v>
      </c>
      <c r="C108" s="255">
        <v>-7738000</v>
      </c>
      <c r="D108" s="101">
        <v>-7738000</v>
      </c>
      <c r="E108" s="101">
        <v>-5444680</v>
      </c>
      <c r="F108" s="276">
        <v>-5444680</v>
      </c>
      <c r="G108" s="101">
        <v>-2722340</v>
      </c>
      <c r="H108" s="241"/>
    </row>
    <row r="109" spans="1:7" ht="12.75">
      <c r="A109" s="242" t="s">
        <v>81</v>
      </c>
      <c r="B109" s="101">
        <v>-3383410</v>
      </c>
      <c r="C109" s="255"/>
      <c r="D109" s="123"/>
      <c r="E109" s="123"/>
      <c r="F109" s="286"/>
      <c r="G109" s="123"/>
    </row>
    <row r="110" spans="1:7" ht="12.75">
      <c r="A110" s="242" t="s">
        <v>82</v>
      </c>
      <c r="B110" s="101">
        <v>-6000000</v>
      </c>
      <c r="C110" s="255"/>
      <c r="D110" s="123"/>
      <c r="E110" s="123"/>
      <c r="F110" s="286"/>
      <c r="G110" s="123"/>
    </row>
    <row r="111" spans="1:7" ht="12.75">
      <c r="A111" s="242" t="s">
        <v>83</v>
      </c>
      <c r="B111" s="101">
        <v>-1500000</v>
      </c>
      <c r="C111" s="265"/>
      <c r="D111" s="57"/>
      <c r="E111" s="123"/>
      <c r="F111" s="286"/>
      <c r="G111" s="57"/>
    </row>
    <row r="112" spans="1:7" ht="12.75">
      <c r="A112" s="242" t="s">
        <v>84</v>
      </c>
      <c r="B112" s="101">
        <v>-1000000</v>
      </c>
      <c r="C112" s="255"/>
      <c r="D112" s="123"/>
      <c r="E112" s="123"/>
      <c r="F112" s="286"/>
      <c r="G112" s="123"/>
    </row>
    <row r="113" spans="1:7" ht="12.75">
      <c r="A113" s="12" t="s">
        <v>85</v>
      </c>
      <c r="B113" s="124"/>
      <c r="C113" s="255"/>
      <c r="D113" s="123"/>
      <c r="E113" s="123"/>
      <c r="F113" s="286"/>
      <c r="G113" s="123"/>
    </row>
    <row r="114" spans="1:8" ht="12.75">
      <c r="A114" s="243" t="s">
        <v>86</v>
      </c>
      <c r="B114" s="124"/>
      <c r="C114" s="255">
        <v>-10000000</v>
      </c>
      <c r="D114" s="101"/>
      <c r="E114" s="101"/>
      <c r="F114" s="276"/>
      <c r="G114" s="101">
        <v>-10000000</v>
      </c>
      <c r="H114" s="101">
        <v>-10000000</v>
      </c>
    </row>
    <row r="115" spans="1:8" ht="12.75">
      <c r="A115" s="243" t="s">
        <v>310</v>
      </c>
      <c r="B115" s="124"/>
      <c r="C115" s="255"/>
      <c r="D115" s="101"/>
      <c r="E115" s="101"/>
      <c r="F115" s="276"/>
      <c r="G115" s="101">
        <v>-250000</v>
      </c>
      <c r="H115" s="101"/>
    </row>
    <row r="116" spans="1:7" ht="12.75">
      <c r="A116" s="224" t="s">
        <v>87</v>
      </c>
      <c r="B116" s="124"/>
      <c r="C116" s="255">
        <v>-180000</v>
      </c>
      <c r="D116" s="101"/>
      <c r="E116" s="123"/>
      <c r="F116" s="286"/>
      <c r="G116" s="101"/>
    </row>
    <row r="117" spans="1:7" ht="12.75">
      <c r="A117" s="224" t="s">
        <v>88</v>
      </c>
      <c r="B117" s="124"/>
      <c r="C117" s="255">
        <v>-178500</v>
      </c>
      <c r="D117" s="101"/>
      <c r="E117" s="123"/>
      <c r="F117" s="286"/>
      <c r="G117" s="101"/>
    </row>
    <row r="118" spans="1:7" ht="12.75">
      <c r="A118" s="224" t="s">
        <v>89</v>
      </c>
      <c r="B118" s="124"/>
      <c r="C118" s="255">
        <v>-909420</v>
      </c>
      <c r="D118" s="123"/>
      <c r="E118" s="123"/>
      <c r="F118" s="286"/>
      <c r="G118" s="101"/>
    </row>
    <row r="119" spans="1:7" ht="12.75">
      <c r="A119" s="224" t="s">
        <v>90</v>
      </c>
      <c r="B119" s="124"/>
      <c r="C119" s="255">
        <v>-261420</v>
      </c>
      <c r="D119" s="123"/>
      <c r="E119" s="123"/>
      <c r="F119" s="286"/>
      <c r="G119" s="101"/>
    </row>
    <row r="120" spans="1:7" ht="12.75">
      <c r="A120" s="224" t="s">
        <v>91</v>
      </c>
      <c r="B120" s="124"/>
      <c r="C120" s="255">
        <v>-493826</v>
      </c>
      <c r="D120" s="123"/>
      <c r="E120" s="123"/>
      <c r="F120" s="286"/>
      <c r="G120" s="101"/>
    </row>
    <row r="121" spans="1:7" ht="12.75">
      <c r="A121" s="224" t="s">
        <v>92</v>
      </c>
      <c r="B121" s="124"/>
      <c r="C121" s="255">
        <v>-3000000</v>
      </c>
      <c r="D121" s="101"/>
      <c r="E121" s="123"/>
      <c r="F121" s="286"/>
      <c r="G121" s="101"/>
    </row>
    <row r="122" spans="1:7" ht="12.75">
      <c r="A122" s="12" t="s">
        <v>311</v>
      </c>
      <c r="B122" s="124"/>
      <c r="C122" s="255"/>
      <c r="D122" s="101"/>
      <c r="E122" s="123"/>
      <c r="F122" s="286"/>
      <c r="G122" s="101"/>
    </row>
    <row r="123" spans="1:7" ht="12.75">
      <c r="A123" s="224" t="s">
        <v>312</v>
      </c>
      <c r="B123" s="124"/>
      <c r="C123" s="255"/>
      <c r="D123" s="101"/>
      <c r="E123" s="123"/>
      <c r="F123" s="286">
        <v>-16217631</v>
      </c>
      <c r="G123" s="101"/>
    </row>
    <row r="124" spans="1:7" ht="12.75">
      <c r="A124" s="224" t="s">
        <v>313</v>
      </c>
      <c r="B124" s="124"/>
      <c r="C124" s="255"/>
      <c r="D124" s="101"/>
      <c r="E124" s="123"/>
      <c r="F124" s="286">
        <v>-4079296</v>
      </c>
      <c r="G124" s="101"/>
    </row>
    <row r="125" spans="1:8" ht="12.75">
      <c r="A125" s="2" t="s">
        <v>93</v>
      </c>
      <c r="B125" s="127">
        <v>-100528612.91</v>
      </c>
      <c r="C125" s="261">
        <v>-76577145.06080109</v>
      </c>
      <c r="D125" s="14">
        <v>-35675278</v>
      </c>
      <c r="E125" s="222">
        <v>-29472568</v>
      </c>
      <c r="F125" s="283">
        <v>-49912495</v>
      </c>
      <c r="G125" s="222">
        <v>-33989705.022199996</v>
      </c>
      <c r="H125" s="222">
        <v>-31488729.2589992</v>
      </c>
    </row>
    <row r="126" spans="1:8" ht="12.75">
      <c r="A126" s="2"/>
      <c r="B126" s="126"/>
      <c r="H126" s="126"/>
    </row>
    <row r="127" spans="1:8" ht="12.75">
      <c r="A127" s="2" t="s">
        <v>94</v>
      </c>
      <c r="B127" s="127">
        <v>40119826.01999995</v>
      </c>
      <c r="C127" s="261">
        <v>33104930.667675316</v>
      </c>
      <c r="D127" s="14">
        <v>33516277.474999905</v>
      </c>
      <c r="E127" s="14">
        <v>32217137.316599846</v>
      </c>
      <c r="F127" s="283">
        <v>32341772.474999905</v>
      </c>
      <c r="G127" s="222">
        <v>52877098.87195658</v>
      </c>
      <c r="H127" s="222">
        <v>54204341.00467554</v>
      </c>
    </row>
    <row r="128" spans="1:8" ht="12.75">
      <c r="A128" s="2"/>
      <c r="B128" s="126"/>
      <c r="D128" s="239"/>
      <c r="H128" s="126"/>
    </row>
    <row r="129" spans="1:8" ht="12.75">
      <c r="A129" s="2" t="s">
        <v>95</v>
      </c>
      <c r="B129" s="128">
        <v>0.07420871840062714</v>
      </c>
      <c r="C129" s="266">
        <v>0.06002431247699415</v>
      </c>
      <c r="D129" s="61">
        <v>0.0626886440336161</v>
      </c>
      <c r="E129" s="61">
        <v>0.06003906593931264</v>
      </c>
      <c r="F129" s="287">
        <v>0.060038915587900345</v>
      </c>
      <c r="G129" s="223">
        <v>0.09771073197883033</v>
      </c>
      <c r="H129" s="223">
        <v>0.0967975914476737</v>
      </c>
    </row>
    <row r="130" spans="1:8" ht="12.75" hidden="1">
      <c r="A130" s="2"/>
      <c r="B130" s="129"/>
      <c r="C130" s="267"/>
      <c r="D130" s="63"/>
      <c r="E130" s="63"/>
      <c r="F130" s="288"/>
      <c r="G130" s="244"/>
      <c r="H130" s="244"/>
    </row>
    <row r="131" spans="1:8" ht="13.5" thickBot="1">
      <c r="A131" s="65" t="s">
        <v>96</v>
      </c>
      <c r="B131" s="130">
        <v>7681729.619999953</v>
      </c>
      <c r="C131" s="268">
        <v>13409</v>
      </c>
      <c r="D131" s="66">
        <v>1437474.6949999072</v>
      </c>
      <c r="E131" s="66">
        <v>20962.896599847823</v>
      </c>
      <c r="F131" s="289">
        <v>20963.05499990657</v>
      </c>
      <c r="G131" s="66">
        <v>20407523.953566194</v>
      </c>
      <c r="H131" s="66">
        <v>20605772.986186966</v>
      </c>
    </row>
    <row r="132" ht="12.75">
      <c r="A132" s="295" t="s">
        <v>318</v>
      </c>
    </row>
    <row r="133" spans="1:8" ht="12.75">
      <c r="A133" s="84"/>
      <c r="G133" s="103"/>
      <c r="H133" s="103"/>
    </row>
    <row r="134" spans="1:8" ht="12.75">
      <c r="A134" s="8"/>
      <c r="G134" s="103"/>
      <c r="H134" s="103"/>
    </row>
  </sheetData>
  <printOptions/>
  <pageMargins left="0.41" right="0.33" top="0.78" bottom="0.62" header="0.28" footer="0.35"/>
  <pageSetup fitToHeight="2" horizontalDpi="600" verticalDpi="600" orientation="portrait" scale="75" r:id="rId3"/>
  <headerFooter alignWithMargins="0">
    <oddHeader>&amp;R&amp;"Arial,Bold"&amp;14ATTACHMENT H</oddHeader>
    <oddFooter>&amp;C&amp;8Page &amp;P of &amp;N</oddFooter>
  </headerFooter>
  <rowBreaks count="1" manualBreakCount="1">
    <brk id="6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Smiley</dc:creator>
  <cp:keywords/>
  <dc:description/>
  <cp:lastModifiedBy>St. John, Polly</cp:lastModifiedBy>
  <cp:lastPrinted>2008-11-22T00:42:17Z</cp:lastPrinted>
  <dcterms:created xsi:type="dcterms:W3CDTF">2008-02-19T16:37:13Z</dcterms:created>
  <dcterms:modified xsi:type="dcterms:W3CDTF">2008-11-22T00:42:20Z</dcterms:modified>
  <cp:category/>
  <cp:version/>
  <cp:contentType/>
  <cp:contentStatus/>
</cp:coreProperties>
</file>