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970" activeTab="0"/>
  </bookViews>
  <sheets>
    <sheet name="Formatted Fin Plan 17 1st Sup"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'[2]Hourly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DS.CLIENT">'[3]EER GL MAPPING 12-9'!$J$7:$J$13,'[3]EER GL MAPPING 12-9'!$J$18,'[3]EER GL MAPPING 12-9'!$J$19,'[3]EER GL MAPPING 12-9'!$J$20,'[3]EER GL MAPPING 12-9'!$J$25,'[3]EER GL MAPPING 12-9'!$J$34,'[3]EER GL MAPPING 12-9'!$J$35,'[3]EER GL MAPPING 12-9'!$J$36,'[3]EER GL MAPPING 12-9'!$J$37,'[3]EER GL MAPPING 12-9'!$J$38,'[3]EER GL MAPPING 12-9'!$J$39,'[3]EER GL MAPPING 12-9'!$J$42,'[3]EER GL MAPPING 12-9'!$J$43,'[3]EER GL MAPPING 12-9'!$J$44,'[3]EER GL MAPPING 12-9'!$J$45,'[3]EER GL MAPPING 12-9'!$J$48,'[3]EER GL MAPPING 12-9'!$J$50,'[3]EER GL MAPPING 12-9'!$J$52,'[3]EER GL MAPPING 12-9'!$J$53,'[3]EER GL MAPPING 12-9'!$J$54,'[3]EER GL MAPPING 12-9'!$J$59,'[3]EER GL MAPPING 12-9'!$J$60,'[3]EER GL MAPPING 12-9'!$J$61,'[3]EER GL MAPPING 12-9'!$J$63,'[3]EER GL MAPPING 12-9'!$J$64,'[3]EER GL MAPPING 12-9'!$J$77,'[3]EER GL MAPPING 12-9'!$J$78,'[3]EER GL MAPPING 12-9'!$J$79,'[3]EER GL MAPPING 12-9'!$J$80,'[3]EER GL MAPPING 12-9'!$J$81,'[3]EER GL MAPPING 12-9'!$J$82,'[3]EER GL MAPPING 12-9'!$J$83,'[3]EER GL MAPPING 12-9'!$J$100,'[3]EER GL MAPPING 12-9'!$J$104,'[3]EER GL MAPPING 12-9'!$J$105</definedName>
    <definedName name="AdoptedFundBalance" localSheetId="0">#REF!</definedName>
    <definedName name="AdoptedFundBalance">#REF!</definedName>
    <definedName name="AFASDFASDFA" hidden="1">{"NonWhole",#N/A,FALSE,"ReorgRevisted"}</definedName>
    <definedName name="AgencyContact">'[4]TOC Forms'!$C$57</definedName>
    <definedName name="agingtot" localSheetId="0">#REF!</definedName>
    <definedName name="agingtot">#REF!</definedName>
    <definedName name="all_other_reduction" localSheetId="0">#REF!</definedName>
    <definedName name="all_other_reduction">#REF!</definedName>
    <definedName name="AllocBasisTable2009">'[7]DCHS 07Tables for 09 Allocation'!$E$2:$P$3,'[7]DCHS 07Tables for 09 Allocation'!$B$4:$P$33</definedName>
    <definedName name="Appro" localSheetId="0">#REF!</definedName>
    <definedName name="Appro">#REF!</definedName>
    <definedName name="ApproUnitName">'[4]TOC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'[8]Replacement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hoose2015" localSheetId="0">#REF!</definedName>
    <definedName name="Choose2015">#REF!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'[4]TOC Forms'!$C$58</definedName>
    <definedName name="Core_Business_Code">'[9]DATA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'[10]2011 DCHS (0935) Alloc 4-13ver1'!$R$38</definedName>
    <definedName name="CSOSAL">'[10]2011 DCHS (0935) Alloc 4-13ver1'!$R$16</definedName>
    <definedName name="CSOTOT">'[10]2011 DCHS (0935) Alloc 4-13ver1'!$R$60</definedName>
    <definedName name="CXAgncy09">'[11]09 REQ Sum Corrected 6-24-08'!$D$7:$D$9,'[11]09 REQ Sum Corrected 6-24-08'!$D$13,'[11]09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'[9]DATA Tables'!$A$11:$A$26</definedName>
    <definedName name="Division_Code">'[9]DATA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'[12]Replacement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'[10]2011 DCHS (0935) Alloc 4-13ver1'!$N$2</definedName>
    <definedName name="FB_1376">'[10]2011 DCHS (0935) Alloc 4-13ver1'!$Q$2</definedName>
    <definedName name="FB_6831">'[10]2011 DCHS (0935) Alloc 4-13ver1'!$J$2</definedName>
    <definedName name="FB_6832">'[10]2011 DCHS (0935) Alloc 4-13ver1'!$L$2</definedName>
    <definedName name="FB_6833">'[10]2011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'[4]TOC Forms'!$C$56</definedName>
    <definedName name="Fund_Source_Code">'[9]DATA Tables'!$A$140:$A$150</definedName>
    <definedName name="gg" hidden="1">{"Dis",#N/A,FALSE,"ReorgRevisted"}</definedName>
    <definedName name="Goal_Code">'[9]DATA Tables'!$A$30:$A$35</definedName>
    <definedName name="GRNCON">'[10]2011 DCHS (0935) Alloc 4-13ver1'!$R$44</definedName>
    <definedName name="GRNSAL">'[10]2011 DCHS (0935) Alloc 4-13ver1'!$R$22</definedName>
    <definedName name="GRNTOT">'[10]2011 DCHS (0935) Alloc 4-13ver1'!$R$66</definedName>
    <definedName name="HOFMIDDCON">'[10]2011 DCHS (0935) Alloc 4-13ver1'!$R$47</definedName>
    <definedName name="HOFMIDDSAL">'[10]2011 DCHS (0935) Alloc 4-13ver1'!$R$25</definedName>
    <definedName name="HOFMIDDTOT">'[10]2011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'[10]2011 DCHS (0935) Alloc 4-13ver1'!$R$34</definedName>
    <definedName name="MIDDSAL">'[10]2011 DCHS (0935) Alloc 4-13ver1'!$R$12</definedName>
    <definedName name="MIDDSCON">'[10]2011 DCHS (0935) Alloc 4-13'!$R$49</definedName>
    <definedName name="MIDDSSAL">'[10]2011 DCHS (0935) Alloc 4-13'!$R$26</definedName>
    <definedName name="MIDDSTOT">'[10]2011 DCHS (0935) Alloc 4-13'!$R$72</definedName>
    <definedName name="MIDDTOTBUD">'[10]2011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'[10]2011 DCHS (0935) Alloc 4-13'!$R$48</definedName>
    <definedName name="OPDMIDDSAL">'[10]2011 DCHS (0935) Alloc 4-13'!$R$25</definedName>
    <definedName name="OPDMIDDTOT">'[10]2011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'Formatted Fin Plan 17 1st Sup'!$A$1:$H$58</definedName>
    <definedName name="Program_Area_Code">'[9]DATA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'[13]Appro_Sections'!$B$7:$N$137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'[9]DATA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'[14]DATA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'[10]2011 DCHS (0935) Alloc 4-13ver1'!$E$103</definedName>
    <definedName name="TotalREQ">'[10]2011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outhFTE201718">'[15]2017-18  EER CenRates Alloc'!$G$11:$G$24</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<sst xmlns="http://schemas.openxmlformats.org/spreadsheetml/2006/main" count="91" uniqueCount="79">
  <si>
    <t>Financial Plan 2017-2018 1st Omnibus Supplemental</t>
  </si>
  <si>
    <t>Developmental Disabilities Division Fund / 000001070</t>
  </si>
  <si>
    <t>DDD</t>
  </si>
  <si>
    <t>KCDDD Supporting Schedules:</t>
  </si>
  <si>
    <t>2016 Q1</t>
  </si>
  <si>
    <t>draft</t>
  </si>
  <si>
    <t>Biennial</t>
  </si>
  <si>
    <t>DCHS</t>
  </si>
  <si>
    <t>HIDDEN COLUMNS - for PSB Variance Analysis - 2017/2018</t>
  </si>
  <si>
    <t>DDD %</t>
  </si>
  <si>
    <t>Account #</t>
  </si>
  <si>
    <t>2017-2018</t>
  </si>
  <si>
    <t>2019-2020</t>
  </si>
  <si>
    <t>2021-2022</t>
  </si>
  <si>
    <t>Category</t>
  </si>
  <si>
    <r>
      <t xml:space="preserve">2015-2016 Actuals </t>
    </r>
    <r>
      <rPr>
        <b/>
        <vertAlign val="superscript"/>
        <sz val="12"/>
        <color theme="1"/>
        <rFont val="Calibri"/>
        <family val="2"/>
        <scheme val="minor"/>
      </rPr>
      <t>1</t>
    </r>
  </si>
  <si>
    <r>
      <t>2017-2018 
Adopted
Budget</t>
    </r>
    <r>
      <rPr>
        <b/>
        <vertAlign val="superscript"/>
        <sz val="12"/>
        <color theme="1"/>
        <rFont val="Calibri"/>
        <family val="2"/>
        <scheme val="minor"/>
      </rPr>
      <t xml:space="preserve"> 2</t>
    </r>
  </si>
  <si>
    <t>2017-2018 Current Budget</t>
  </si>
  <si>
    <r>
      <t xml:space="preserve">2017-2018 Biennial-to-Date Actuals </t>
    </r>
    <r>
      <rPr>
        <b/>
        <vertAlign val="superscript"/>
        <sz val="12"/>
        <color theme="1"/>
        <rFont val="Calibri"/>
        <family val="2"/>
        <scheme val="minor"/>
      </rPr>
      <t>3</t>
    </r>
  </si>
  <si>
    <r>
      <t xml:space="preserve">2017-2018 Estimated </t>
    </r>
    <r>
      <rPr>
        <b/>
        <vertAlign val="superscript"/>
        <sz val="12"/>
        <color theme="1"/>
        <rFont val="Calibri"/>
        <family val="2"/>
        <scheme val="minor"/>
      </rPr>
      <t>4</t>
    </r>
  </si>
  <si>
    <r>
      <t xml:space="preserve">2019-2020 Projected </t>
    </r>
    <r>
      <rPr>
        <b/>
        <vertAlign val="superscript"/>
        <sz val="12"/>
        <color theme="1"/>
        <rFont val="Calibri"/>
        <family val="2"/>
        <scheme val="minor"/>
      </rPr>
      <t>5</t>
    </r>
  </si>
  <si>
    <r>
      <t xml:space="preserve">2021-2022 Projected </t>
    </r>
    <r>
      <rPr>
        <b/>
        <vertAlign val="superscript"/>
        <sz val="12"/>
        <color theme="1"/>
        <rFont val="Calibri"/>
        <family val="2"/>
        <scheme val="minor"/>
      </rPr>
      <t>5</t>
    </r>
  </si>
  <si>
    <t>2017/2018  Diff: Profroma to Proposed</t>
  </si>
  <si>
    <t>2015/2016      Diff: Estimated to Current Budget</t>
  </si>
  <si>
    <t>2015 - 2016   Estimated as Percent of Current Budget</t>
  </si>
  <si>
    <t xml:space="preserve">Beginning Fund Balance </t>
  </si>
  <si>
    <t>Revenues</t>
  </si>
  <si>
    <t>Federal</t>
  </si>
  <si>
    <t>State</t>
  </si>
  <si>
    <t>Local</t>
  </si>
  <si>
    <t>MH/DDD</t>
  </si>
  <si>
    <t>Best Starts for Kids</t>
  </si>
  <si>
    <t>Intergovernmental</t>
  </si>
  <si>
    <t>Interfund Transfers</t>
  </si>
  <si>
    <t>Other</t>
  </si>
  <si>
    <t>DDD Total - Local Revenues</t>
  </si>
  <si>
    <t>DDD Total - Local Revenues - Fin Plan Total</t>
  </si>
  <si>
    <t>Total Revenues</t>
  </si>
  <si>
    <t xml:space="preserve">Expenditures </t>
  </si>
  <si>
    <t>Salaries, Wages &amp; Benefits</t>
  </si>
  <si>
    <t>Supplies and Other</t>
  </si>
  <si>
    <t>Contracted Services</t>
  </si>
  <si>
    <t>Intragovernmental Services</t>
  </si>
  <si>
    <t>Intragovernmental Contributions</t>
  </si>
  <si>
    <t>Total Expenditures</t>
  </si>
  <si>
    <r>
      <t>Estimated Underexpenditures</t>
    </r>
    <r>
      <rPr>
        <b/>
        <vertAlign val="superscript"/>
        <sz val="12"/>
        <color theme="1"/>
        <rFont val="Calibri"/>
        <family val="2"/>
        <scheme val="minor"/>
      </rPr>
      <t xml:space="preserve"> </t>
    </r>
  </si>
  <si>
    <t>Other Fund Transactions</t>
  </si>
  <si>
    <t>Total Other Fund Transactions</t>
  </si>
  <si>
    <t>Ending Fund Balance</t>
  </si>
  <si>
    <t>Reserves</t>
  </si>
  <si>
    <t>Expenditure Reserve (s)</t>
  </si>
  <si>
    <t xml:space="preserve">Cash Flow Reserve(s) </t>
  </si>
  <si>
    <r>
      <t xml:space="preserve">Reappropriation Reserve(s) </t>
    </r>
    <r>
      <rPr>
        <vertAlign val="superscript"/>
        <sz val="12"/>
        <color theme="1"/>
        <rFont val="Calibri"/>
        <family val="2"/>
        <scheme val="minor"/>
      </rPr>
      <t>6</t>
    </r>
  </si>
  <si>
    <r>
      <t xml:space="preserve">Rainy Day Reserve (30 days) </t>
    </r>
    <r>
      <rPr>
        <vertAlign val="superscript"/>
        <sz val="12"/>
        <color theme="1"/>
        <rFont val="Calibri"/>
        <family val="2"/>
        <scheme val="minor"/>
      </rPr>
      <t>7</t>
    </r>
  </si>
  <si>
    <t>Total Reserves</t>
  </si>
  <si>
    <t xml:space="preserve">Reserve Shortfall </t>
  </si>
  <si>
    <t xml:space="preserve">Ending Undesignated Fund Balance </t>
  </si>
  <si>
    <t>FTEs - EI</t>
  </si>
  <si>
    <t>FTEs - AE</t>
  </si>
  <si>
    <t>FTEs - ADS</t>
  </si>
  <si>
    <t>FTEs - CIOR</t>
  </si>
  <si>
    <t>Total FTEs</t>
  </si>
  <si>
    <t>Financial Plan Notes:</t>
  </si>
  <si>
    <r>
      <rPr>
        <vertAlign val="superscript"/>
        <sz val="11"/>
        <color theme="1"/>
        <rFont val="Calibri"/>
        <family val="2"/>
        <scheme val="minor"/>
      </rPr>
      <t>1</t>
    </r>
    <r>
      <rPr>
        <sz val="11"/>
        <color theme="1"/>
        <rFont val="Calibri"/>
        <family val="2"/>
        <scheme val="minor"/>
      </rPr>
      <t xml:space="preserve"> 2015-2016 Actuals reflects actual revenues and expenditures as of December 31, 2016, using EBS report GL010 2016 YTD run 02/08/17, King County's Fund Balance.
   Summary for 2014.</t>
    </r>
  </si>
  <si>
    <r>
      <rPr>
        <vertAlign val="superscript"/>
        <sz val="11"/>
        <color theme="1"/>
        <rFont val="Calibri"/>
        <family val="2"/>
        <scheme val="minor"/>
      </rPr>
      <t>2</t>
    </r>
    <r>
      <rPr>
        <sz val="11"/>
        <color theme="1"/>
        <rFont val="Calibri"/>
        <family val="2"/>
        <scheme val="minor"/>
      </rPr>
      <t xml:space="preserve"> 2017-2018 Adopted Budget reflects the Council approved budget per ordinance 18409.</t>
    </r>
  </si>
  <si>
    <r>
      <rPr>
        <vertAlign val="superscript"/>
        <sz val="11"/>
        <color theme="1"/>
        <rFont val="Calibri"/>
        <family val="2"/>
        <scheme val="minor"/>
      </rPr>
      <t>3</t>
    </r>
    <r>
      <rPr>
        <sz val="11"/>
        <color theme="1"/>
        <rFont val="Calibri"/>
        <family val="2"/>
        <scheme val="minor"/>
      </rPr>
      <t xml:space="preserve"> 2017-2018 Actuals reflects actual revenues and expenditures as of January 31, 2017, using EBS report GL010 2017 YTD run 02/13/17, King County's Fund Balance
   Summary for 2014.</t>
    </r>
  </si>
  <si>
    <r>
      <rPr>
        <vertAlign val="superscript"/>
        <sz val="11"/>
        <color theme="1"/>
        <rFont val="Calibri"/>
        <family val="2"/>
        <scheme val="minor"/>
      </rPr>
      <t>4</t>
    </r>
    <r>
      <rPr>
        <sz val="11"/>
        <color theme="1"/>
        <rFont val="Calibri"/>
        <family val="2"/>
        <scheme val="minor"/>
      </rPr>
      <t xml:space="preserve"> 2017-2018 Estimated includes $354,555 representing the 2016 remaining amount for the Crisis Diversion Housing Project and $11,255,403 representing the amount for the BSK transfers into the DDD fund which includes $145,000 reappropriation from 2016.</t>
    </r>
  </si>
  <si>
    <r>
      <rPr>
        <vertAlign val="superscript"/>
        <sz val="11"/>
        <color theme="1"/>
        <rFont val="Calibri"/>
        <family val="2"/>
        <scheme val="minor"/>
      </rPr>
      <t xml:space="preserve">5 </t>
    </r>
    <r>
      <rPr>
        <sz val="11"/>
        <color theme="1"/>
        <rFont val="Calibri"/>
        <family val="2"/>
        <scheme val="minor"/>
      </rPr>
      <t xml:space="preserve"> Outyear projections are based on the following assumptions: 
   (1) August 2016 OEFA projections for Property Tax Revenues,
   (2) Assumed the State will continue to increase the division's revenue each year due the growth and success rate in the School to Work Program,
   (3) PSB outyear budget assumptions and guidance for salary and wages and central rates, 
   (4) DDD Program Managers' assumptions for contract expenditures and revenues, and 
   (5) Estimated BSK amount for 2019 through 2022.</t>
    </r>
  </si>
  <si>
    <r>
      <rPr>
        <vertAlign val="superscript"/>
        <sz val="11"/>
        <color theme="1"/>
        <rFont val="Calibri"/>
        <family val="2"/>
        <scheme val="minor"/>
      </rPr>
      <t>6</t>
    </r>
    <r>
      <rPr>
        <sz val="11"/>
        <color theme="1"/>
        <rFont val="Calibri"/>
        <family val="2"/>
        <scheme val="minor"/>
      </rPr>
      <t xml:space="preserve"> $145,000 of Best Start for Kids funding and $354,555 of Crisis Diversion Housing Project funding was not spent in 2016, the Division is requesting reappropriation of the funds in 2017.</t>
    </r>
  </si>
  <si>
    <r>
      <rPr>
        <vertAlign val="superscript"/>
        <sz val="11"/>
        <color theme="1"/>
        <rFont val="Calibri"/>
        <family val="2"/>
        <scheme val="minor"/>
      </rPr>
      <t>7</t>
    </r>
    <r>
      <rPr>
        <sz val="11"/>
        <color theme="1"/>
        <rFont val="Calibri"/>
        <family val="2"/>
        <scheme val="minor"/>
      </rPr>
      <t xml:space="preserve"> This fund is a Special Revenue Fund and has a Rainy Day Reserve set at 30 days of expenditures.</t>
    </r>
  </si>
  <si>
    <t>This plan was updated by DCHS Staff on 02/21/17.</t>
  </si>
  <si>
    <t>DDD Summary - For Information Only:</t>
  </si>
  <si>
    <t>1. Net Income:</t>
  </si>
  <si>
    <t>NetIncome</t>
  </si>
  <si>
    <t>2. Analysis of Expenditures:</t>
  </si>
  <si>
    <t>Admin $</t>
  </si>
  <si>
    <t>Contract Services $</t>
  </si>
  <si>
    <t>Total  Expenditures $</t>
  </si>
  <si>
    <t>Admin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</si>
</sst>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mm/dd/yy;@"/>
    <numFmt numFmtId="166" formatCode="0.0%"/>
  </numFmts>
  <fonts count="11">
    <font>
      <sz val="10"/>
      <name val="Arial"/>
      <family val="2"/>
    </font>
    <font>
      <sz val="11"/>
      <color theme="1"/>
      <name val="Calibri"/>
      <family val="2"/>
      <scheme val="minor"/>
    </font>
    <font>
      <b/>
      <sz val="11"/>
      <color theme="1"/>
      <name val="Calibri"/>
      <family val="2"/>
      <scheme val="minor"/>
    </font>
    <font>
      <b/>
      <sz val="12"/>
      <color theme="1"/>
      <name val="Calibri"/>
      <family val="2"/>
      <scheme val="minor"/>
    </font>
    <font>
      <sz val="12"/>
      <name val="Times New Roman"/>
      <family val="1"/>
    </font>
    <font>
      <b/>
      <vertAlign val="superscript"/>
      <sz val="12"/>
      <color theme="1"/>
      <name val="Calibri"/>
      <family val="2"/>
      <scheme val="minor"/>
    </font>
    <font>
      <sz val="12"/>
      <color theme="1"/>
      <name val="Calibri"/>
      <family val="2"/>
      <scheme val="minor"/>
    </font>
    <font>
      <sz val="10"/>
      <color theme="1"/>
      <name val="Arial"/>
      <family val="2"/>
    </font>
    <font>
      <sz val="12"/>
      <name val="Calibri"/>
      <family val="2"/>
      <scheme val="minor"/>
    </font>
    <font>
      <vertAlign val="superscript"/>
      <sz val="12"/>
      <color theme="1"/>
      <name val="Calibri"/>
      <family val="2"/>
      <scheme val="minor"/>
    </font>
    <font>
      <vertAlign val="superscript"/>
      <sz val="11"/>
      <color theme="1"/>
      <name val="Calibri"/>
      <family val="2"/>
      <scheme val="minor"/>
    </font>
  </fonts>
  <fills count="3">
    <fill>
      <patternFill/>
    </fill>
    <fill>
      <patternFill patternType="gray125"/>
    </fill>
    <fill>
      <patternFill patternType="solid">
        <fgColor theme="0"/>
        <bgColor indexed="64"/>
      </patternFill>
    </fill>
  </fills>
  <borders count="14">
    <border>
      <left/>
      <right/>
      <top/>
      <bottom/>
      <diagonal/>
    </border>
    <border>
      <left style="thin"/>
      <right/>
      <top style="thin"/>
      <bottom/>
    </border>
    <border>
      <left/>
      <right/>
      <top style="thin"/>
      <bottom/>
    </border>
    <border>
      <left/>
      <right/>
      <top/>
      <bottom style="thin"/>
    </border>
    <border>
      <left style="thin"/>
      <right style="thin"/>
      <top style="thin"/>
      <bottom style="thin"/>
    </border>
    <border>
      <left style="thin"/>
      <right style="thin"/>
      <top/>
      <bottom style="thin"/>
    </border>
    <border>
      <left style="thin"/>
      <right/>
      <top/>
      <bottom/>
    </border>
    <border>
      <left style="thin"/>
      <right style="thin"/>
      <top style="thin"/>
      <bottom/>
    </border>
    <border>
      <left style="thin"/>
      <right style="thin"/>
      <top/>
      <bottom/>
    </border>
    <border>
      <left style="thin"/>
      <right/>
      <top style="thin"/>
      <bottom style="thin"/>
    </border>
    <border>
      <left/>
      <right/>
      <top style="thin"/>
      <bottom style="double"/>
    </border>
    <border>
      <left/>
      <right/>
      <top/>
      <bottom style="double"/>
    </border>
    <border>
      <left style="thin"/>
      <right/>
      <top/>
      <bottom style="thin"/>
    </border>
    <border>
      <left/>
      <right style="thin"/>
      <top/>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37" fontId="4" fillId="0" borderId="0">
      <alignment/>
      <protection/>
    </xf>
    <xf numFmtId="43"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cellStyleXfs>
  <cellXfs count="136">
    <xf numFmtId="0" fontId="0" fillId="0" borderId="0" xfId="0"/>
    <xf numFmtId="0" fontId="3" fillId="2" borderId="0" xfId="20" applyFont="1" applyFill="1" applyAlignment="1">
      <alignment horizontal="center"/>
      <protection/>
    </xf>
    <xf numFmtId="43" fontId="1" fillId="2" borderId="0" xfId="18" applyFont="1" applyFill="1"/>
    <xf numFmtId="0" fontId="1" fillId="2" borderId="0" xfId="20" applyFont="1" applyFill="1">
      <alignment/>
      <protection/>
    </xf>
    <xf numFmtId="0" fontId="1" fillId="2" borderId="0" xfId="20" applyNumberFormat="1" applyFont="1" applyFill="1">
      <alignment/>
      <protection/>
    </xf>
    <xf numFmtId="0" fontId="1" fillId="2" borderId="0" xfId="20" applyFont="1" applyFill="1" applyBorder="1">
      <alignment/>
      <protection/>
    </xf>
    <xf numFmtId="164" fontId="1" fillId="2" borderId="0" xfId="18" applyNumberFormat="1" applyFont="1" applyFill="1"/>
    <xf numFmtId="0" fontId="1" fillId="2" borderId="0" xfId="20" applyFont="1" applyFill="1" applyAlignment="1">
      <alignment wrapText="1"/>
      <protection/>
    </xf>
    <xf numFmtId="0" fontId="2" fillId="2" borderId="0" xfId="20" applyFont="1" applyFill="1" applyBorder="1" applyAlignment="1">
      <alignment horizontal="center"/>
      <protection/>
    </xf>
    <xf numFmtId="0" fontId="2" fillId="2" borderId="0" xfId="20" applyNumberFormat="1" applyFont="1" applyFill="1" applyBorder="1" applyAlignment="1">
      <alignment horizontal="center"/>
      <protection/>
    </xf>
    <xf numFmtId="9" fontId="1" fillId="2" borderId="0" xfId="15" applyFont="1" applyFill="1"/>
    <xf numFmtId="164" fontId="3" fillId="2" borderId="0" xfId="20" applyNumberFormat="1" applyFont="1" applyFill="1" applyAlignment="1">
      <alignment horizontal="center"/>
      <protection/>
    </xf>
    <xf numFmtId="0" fontId="3" fillId="2" borderId="0" xfId="20" applyFont="1" applyFill="1" applyAlignment="1">
      <alignment horizontal="center"/>
      <protection/>
    </xf>
    <xf numFmtId="43" fontId="3" fillId="2" borderId="0" xfId="18" applyFont="1" applyFill="1" applyAlignment="1">
      <alignment horizontal="left"/>
    </xf>
    <xf numFmtId="0" fontId="3" fillId="2" borderId="0" xfId="20" applyNumberFormat="1" applyFont="1" applyFill="1" applyAlignment="1">
      <alignment horizontal="center"/>
      <protection/>
    </xf>
    <xf numFmtId="165" fontId="3" fillId="2" borderId="0" xfId="20" applyNumberFormat="1" applyFont="1" applyFill="1" applyAlignment="1">
      <alignment horizontal="center"/>
      <protection/>
    </xf>
    <xf numFmtId="0" fontId="2" fillId="2" borderId="0" xfId="20" applyFont="1" applyFill="1" applyBorder="1" applyAlignment="1">
      <alignment horizontal="center"/>
      <protection/>
    </xf>
    <xf numFmtId="0" fontId="2" fillId="2" borderId="1" xfId="20" applyFont="1" applyFill="1" applyBorder="1" applyAlignment="1">
      <alignment horizontal="center"/>
      <protection/>
    </xf>
    <xf numFmtId="0" fontId="2" fillId="2" borderId="2" xfId="20" applyFont="1" applyFill="1" applyBorder="1" applyAlignment="1">
      <alignment horizontal="center"/>
      <protection/>
    </xf>
    <xf numFmtId="0" fontId="2" fillId="2" borderId="3" xfId="20" applyNumberFormat="1" applyFont="1" applyFill="1" applyBorder="1" applyAlignment="1">
      <alignment horizontal="center"/>
      <protection/>
    </xf>
    <xf numFmtId="0" fontId="2" fillId="2" borderId="3" xfId="20" applyFont="1" applyFill="1" applyBorder="1" applyAlignment="1">
      <alignment horizontal="center"/>
      <protection/>
    </xf>
    <xf numFmtId="37" fontId="3" fillId="2" borderId="4" xfId="21" applyFont="1" applyFill="1" applyBorder="1" applyAlignment="1" applyProtection="1">
      <alignment horizontal="left" wrapText="1"/>
      <protection/>
    </xf>
    <xf numFmtId="37" fontId="3" fillId="2" borderId="4" xfId="21" applyFont="1" applyFill="1" applyBorder="1" applyAlignment="1">
      <alignment horizontal="center" wrapText="1"/>
      <protection/>
    </xf>
    <xf numFmtId="37" fontId="3" fillId="2" borderId="5" xfId="21" applyFont="1" applyFill="1" applyBorder="1" applyAlignment="1">
      <alignment horizontal="center" wrapText="1"/>
      <protection/>
    </xf>
    <xf numFmtId="37" fontId="3" fillId="2" borderId="6" xfId="21" applyFont="1" applyFill="1" applyBorder="1" applyAlignment="1">
      <alignment horizontal="center" wrapText="1"/>
      <protection/>
    </xf>
    <xf numFmtId="0" fontId="3" fillId="2" borderId="0" xfId="21" applyNumberFormat="1" applyFont="1" applyFill="1" applyBorder="1" applyAlignment="1">
      <alignment horizontal="center" wrapText="1"/>
      <protection/>
    </xf>
    <xf numFmtId="0" fontId="2" fillId="2" borderId="0" xfId="20" applyFont="1" applyFill="1" applyAlignment="1">
      <alignment wrapText="1"/>
      <protection/>
    </xf>
    <xf numFmtId="37" fontId="3" fillId="2" borderId="4" xfId="21" applyFont="1" applyFill="1" applyBorder="1" applyAlignment="1">
      <alignment horizontal="left"/>
      <protection/>
    </xf>
    <xf numFmtId="164" fontId="3" fillId="2" borderId="4" xfId="22" applyNumberFormat="1" applyFont="1" applyFill="1" applyBorder="1" applyAlignment="1">
      <alignment/>
    </xf>
    <xf numFmtId="164" fontId="1" fillId="2" borderId="7" xfId="20" applyNumberFormat="1" applyFont="1" applyFill="1" applyBorder="1">
      <alignment/>
      <protection/>
    </xf>
    <xf numFmtId="9" fontId="6" fillId="2" borderId="8" xfId="23" applyNumberFormat="1" applyFont="1" applyFill="1" applyBorder="1" applyAlignment="1">
      <alignment horizontal="center"/>
    </xf>
    <xf numFmtId="9" fontId="6" fillId="2" borderId="9" xfId="23" applyNumberFormat="1" applyFont="1" applyFill="1" applyBorder="1" applyAlignment="1">
      <alignment horizontal="center"/>
    </xf>
    <xf numFmtId="0" fontId="6" fillId="2" borderId="0" xfId="23" applyNumberFormat="1" applyFont="1" applyFill="1" applyBorder="1" applyAlignment="1">
      <alignment horizontal="center"/>
    </xf>
    <xf numFmtId="166" fontId="7" fillId="2" borderId="0" xfId="24" applyNumberFormat="1" applyFont="1" applyFill="1" applyBorder="1"/>
    <xf numFmtId="37" fontId="3" fillId="2" borderId="8" xfId="21" applyFont="1" applyFill="1" applyBorder="1" applyAlignment="1">
      <alignment horizontal="left" vertical="center"/>
      <protection/>
    </xf>
    <xf numFmtId="37" fontId="3" fillId="2" borderId="6" xfId="21" applyFont="1" applyFill="1" applyBorder="1" applyAlignment="1">
      <alignment horizontal="left" vertical="center"/>
      <protection/>
    </xf>
    <xf numFmtId="164" fontId="6" fillId="2" borderId="7" xfId="22" applyNumberFormat="1" applyFont="1" applyFill="1" applyBorder="1" applyAlignment="1">
      <alignment vertical="center"/>
    </xf>
    <xf numFmtId="0" fontId="1" fillId="2" borderId="7" xfId="20" applyFont="1" applyFill="1" applyBorder="1">
      <alignment/>
      <protection/>
    </xf>
    <xf numFmtId="0" fontId="1" fillId="2" borderId="7" xfId="20" applyFont="1" applyFill="1" applyBorder="1" applyAlignment="1">
      <alignment horizontal="center"/>
      <protection/>
    </xf>
    <xf numFmtId="0" fontId="1" fillId="2" borderId="1" xfId="20" applyFont="1" applyFill="1" applyBorder="1">
      <alignment/>
      <protection/>
    </xf>
    <xf numFmtId="0" fontId="1" fillId="2" borderId="0" xfId="20" applyNumberFormat="1" applyFont="1" applyFill="1" applyBorder="1">
      <alignment/>
      <protection/>
    </xf>
    <xf numFmtId="37" fontId="6" fillId="2" borderId="8" xfId="21" applyFont="1" applyFill="1" applyBorder="1" applyAlignment="1">
      <alignment horizontal="left" vertical="center"/>
      <protection/>
    </xf>
    <xf numFmtId="164" fontId="6" fillId="2" borderId="6" xfId="18" applyNumberFormat="1" applyFont="1" applyFill="1" applyBorder="1" applyAlignment="1">
      <alignment horizontal="center" vertical="center"/>
    </xf>
    <xf numFmtId="164" fontId="6" fillId="2" borderId="8" xfId="18" applyNumberFormat="1" applyFont="1" applyFill="1" applyBorder="1" applyAlignment="1">
      <alignment vertical="center"/>
    </xf>
    <xf numFmtId="164" fontId="1" fillId="2" borderId="8" xfId="20" applyNumberFormat="1" applyFont="1" applyFill="1" applyBorder="1">
      <alignment/>
      <protection/>
    </xf>
    <xf numFmtId="9" fontId="6" fillId="2" borderId="6" xfId="23" applyNumberFormat="1" applyFont="1" applyFill="1" applyBorder="1" applyAlignment="1">
      <alignment horizontal="center"/>
    </xf>
    <xf numFmtId="9" fontId="6" fillId="2" borderId="0" xfId="15" applyFont="1" applyFill="1" applyBorder="1" applyAlignment="1">
      <alignment horizontal="center"/>
    </xf>
    <xf numFmtId="166" fontId="1" fillId="2" borderId="0" xfId="15" applyNumberFormat="1" applyFont="1" applyFill="1"/>
    <xf numFmtId="164" fontId="1" fillId="2" borderId="0" xfId="20" applyNumberFormat="1" applyFont="1" applyFill="1">
      <alignment/>
      <protection/>
    </xf>
    <xf numFmtId="9" fontId="6" fillId="2" borderId="10" xfId="15" applyFont="1" applyFill="1" applyBorder="1" applyAlignment="1">
      <alignment horizontal="center"/>
    </xf>
    <xf numFmtId="0" fontId="6" fillId="2" borderId="10" xfId="23" applyNumberFormat="1" applyFont="1" applyFill="1" applyBorder="1" applyAlignment="1">
      <alignment horizontal="center"/>
    </xf>
    <xf numFmtId="164" fontId="1" fillId="2" borderId="10" xfId="18" applyNumberFormat="1" applyFont="1" applyFill="1" applyBorder="1"/>
    <xf numFmtId="164" fontId="1" fillId="2" borderId="0" xfId="18" applyNumberFormat="1" applyFont="1" applyFill="1" applyBorder="1"/>
    <xf numFmtId="43" fontId="1" fillId="2" borderId="0" xfId="20" applyNumberFormat="1" applyFont="1" applyFill="1">
      <alignment/>
      <protection/>
    </xf>
    <xf numFmtId="9" fontId="3" fillId="2" borderId="10" xfId="15" applyFont="1" applyFill="1" applyBorder="1" applyAlignment="1">
      <alignment horizontal="center"/>
    </xf>
    <xf numFmtId="0" fontId="3" fillId="2" borderId="10" xfId="23" applyNumberFormat="1" applyFont="1" applyFill="1" applyBorder="1" applyAlignment="1">
      <alignment horizontal="right"/>
    </xf>
    <xf numFmtId="164" fontId="2" fillId="2" borderId="10" xfId="18" applyNumberFormat="1" applyFont="1" applyFill="1" applyBorder="1"/>
    <xf numFmtId="37" fontId="6" fillId="2" borderId="8" xfId="21" applyFont="1" applyFill="1" applyBorder="1" applyAlignment="1">
      <alignment horizontal="left"/>
      <protection/>
    </xf>
    <xf numFmtId="164" fontId="6" fillId="2" borderId="6" xfId="18" applyNumberFormat="1" applyFont="1" applyFill="1" applyBorder="1" applyAlignment="1">
      <alignment horizontal="center"/>
    </xf>
    <xf numFmtId="43" fontId="6" fillId="2" borderId="0" xfId="18" applyFont="1" applyFill="1" applyBorder="1" applyAlignment="1">
      <alignment horizontal="left"/>
    </xf>
    <xf numFmtId="0" fontId="6" fillId="2" borderId="0" xfId="23" applyNumberFormat="1" applyFont="1" applyFill="1" applyBorder="1" applyAlignment="1">
      <alignment horizontal="right"/>
    </xf>
    <xf numFmtId="164" fontId="1" fillId="2" borderId="11" xfId="18" applyNumberFormat="1" applyFont="1" applyFill="1" applyBorder="1"/>
    <xf numFmtId="37" fontId="3" fillId="2" borderId="5" xfId="21" applyFont="1" applyFill="1" applyBorder="1" applyAlignment="1">
      <alignment horizontal="left" vertical="center"/>
      <protection/>
    </xf>
    <xf numFmtId="164" fontId="3" fillId="2" borderId="12" xfId="18" applyNumberFormat="1" applyFont="1" applyFill="1" applyBorder="1" applyAlignment="1">
      <alignment vertical="center"/>
    </xf>
    <xf numFmtId="164" fontId="3" fillId="2" borderId="5" xfId="18" applyNumberFormat="1" applyFont="1" applyFill="1" applyBorder="1" applyAlignment="1">
      <alignment vertical="center"/>
    </xf>
    <xf numFmtId="164" fontId="2" fillId="2" borderId="8" xfId="20" applyNumberFormat="1" applyFont="1" applyFill="1" applyBorder="1">
      <alignment/>
      <protection/>
    </xf>
    <xf numFmtId="9" fontId="3" fillId="2" borderId="8" xfId="23" applyNumberFormat="1" applyFont="1" applyFill="1" applyBorder="1" applyAlignment="1">
      <alignment horizontal="center"/>
    </xf>
    <xf numFmtId="9" fontId="3" fillId="2" borderId="12" xfId="23" applyNumberFormat="1" applyFont="1" applyFill="1" applyBorder="1" applyAlignment="1">
      <alignment horizontal="center"/>
    </xf>
    <xf numFmtId="0" fontId="3" fillId="2" borderId="0" xfId="23" applyNumberFormat="1" applyFont="1" applyFill="1" applyBorder="1" applyAlignment="1">
      <alignment horizontal="center"/>
    </xf>
    <xf numFmtId="164" fontId="6" fillId="2" borderId="6" xfId="18" applyNumberFormat="1" applyFont="1" applyFill="1" applyBorder="1" applyAlignment="1">
      <alignment horizontal="right"/>
    </xf>
    <xf numFmtId="164" fontId="6" fillId="2" borderId="7" xfId="18" applyNumberFormat="1" applyFont="1" applyFill="1" applyBorder="1" applyAlignment="1">
      <alignment vertical="center"/>
    </xf>
    <xf numFmtId="9" fontId="6" fillId="2" borderId="7" xfId="23" applyNumberFormat="1" applyFont="1" applyFill="1" applyBorder="1" applyAlignment="1">
      <alignment horizontal="center"/>
    </xf>
    <xf numFmtId="9" fontId="6" fillId="2" borderId="1" xfId="23" applyNumberFormat="1" applyFont="1" applyFill="1" applyBorder="1" applyAlignment="1">
      <alignment horizontal="center"/>
    </xf>
    <xf numFmtId="44" fontId="1" fillId="2" borderId="0" xfId="16" applyFont="1" applyFill="1" quotePrefix="1"/>
    <xf numFmtId="44" fontId="1" fillId="2" borderId="0" xfId="16" applyFont="1" applyFill="1"/>
    <xf numFmtId="164" fontId="8" fillId="2" borderId="8" xfId="18" applyNumberFormat="1" applyFont="1" applyFill="1" applyBorder="1" applyAlignment="1">
      <alignment vertical="center"/>
    </xf>
    <xf numFmtId="164" fontId="6" fillId="2" borderId="0" xfId="18" applyNumberFormat="1" applyFont="1" applyFill="1" applyBorder="1" applyAlignment="1">
      <alignment horizontal="left"/>
    </xf>
    <xf numFmtId="164" fontId="1" fillId="2" borderId="0" xfId="18" applyNumberFormat="1" applyFont="1" applyFill="1" applyBorder="1" applyAlignment="1">
      <alignment horizontal="center"/>
    </xf>
    <xf numFmtId="164" fontId="6" fillId="2" borderId="6" xfId="18" applyNumberFormat="1" applyFont="1" applyFill="1" applyBorder="1" applyAlignment="1">
      <alignment horizontal="left"/>
    </xf>
    <xf numFmtId="37" fontId="3" fillId="2" borderId="4" xfId="21" applyFont="1" applyFill="1" applyBorder="1" applyAlignment="1">
      <alignment horizontal="left" vertical="center"/>
      <protection/>
    </xf>
    <xf numFmtId="164" fontId="3" fillId="2" borderId="4" xfId="18" applyNumberFormat="1" applyFont="1" applyFill="1" applyBorder="1" applyAlignment="1">
      <alignment horizontal="right" vertical="center"/>
    </xf>
    <xf numFmtId="164" fontId="6" fillId="2" borderId="4" xfId="18" applyNumberFormat="1" applyFont="1" applyFill="1" applyBorder="1" applyAlignment="1">
      <alignment horizontal="right" vertical="center"/>
    </xf>
    <xf numFmtId="164" fontId="1" fillId="2" borderId="4" xfId="20" applyNumberFormat="1" applyFont="1" applyFill="1" applyBorder="1">
      <alignment/>
      <protection/>
    </xf>
    <xf numFmtId="9" fontId="6" fillId="2" borderId="4" xfId="23" applyNumberFormat="1" applyFont="1" applyFill="1" applyBorder="1" applyAlignment="1">
      <alignment horizontal="center"/>
    </xf>
    <xf numFmtId="164" fontId="3" fillId="2" borderId="8" xfId="18" applyNumberFormat="1" applyFont="1" applyFill="1" applyBorder="1" applyAlignment="1">
      <alignment horizontal="left" vertical="center"/>
    </xf>
    <xf numFmtId="37" fontId="6" fillId="2" borderId="6" xfId="21" applyFont="1" applyFill="1" applyBorder="1" applyAlignment="1" quotePrefix="1">
      <alignment horizontal="left" vertical="center"/>
      <protection/>
    </xf>
    <xf numFmtId="164" fontId="6" fillId="2" borderId="8" xfId="18" applyNumberFormat="1" applyFont="1" applyFill="1" applyBorder="1" applyAlignment="1">
      <alignment horizontal="right"/>
    </xf>
    <xf numFmtId="9" fontId="6" fillId="2" borderId="5" xfId="23" applyNumberFormat="1" applyFont="1" applyFill="1" applyBorder="1" applyAlignment="1">
      <alignment horizontal="center"/>
    </xf>
    <xf numFmtId="164" fontId="1" fillId="2" borderId="5" xfId="20" applyNumberFormat="1" applyFont="1" applyFill="1" applyBorder="1">
      <alignment/>
      <protection/>
    </xf>
    <xf numFmtId="9" fontId="6" fillId="2" borderId="12" xfId="23" applyNumberFormat="1" applyFont="1" applyFill="1" applyBorder="1" applyAlignment="1">
      <alignment horizontal="center"/>
    </xf>
    <xf numFmtId="164" fontId="3" fillId="2" borderId="4" xfId="18" applyNumberFormat="1" applyFont="1" applyFill="1" applyBorder="1" applyAlignment="1" quotePrefix="1">
      <alignment vertical="center"/>
    </xf>
    <xf numFmtId="43" fontId="2" fillId="2" borderId="0" xfId="18" applyFont="1" applyFill="1"/>
    <xf numFmtId="9" fontId="3" fillId="2" borderId="4" xfId="23" applyNumberFormat="1" applyFont="1" applyFill="1" applyBorder="1" applyAlignment="1">
      <alignment horizontal="center"/>
    </xf>
    <xf numFmtId="0" fontId="2" fillId="2" borderId="0" xfId="20" applyFont="1" applyFill="1">
      <alignment/>
      <protection/>
    </xf>
    <xf numFmtId="9" fontId="3" fillId="2" borderId="9" xfId="23" applyNumberFormat="1" applyFont="1" applyFill="1" applyBorder="1" applyAlignment="1">
      <alignment horizontal="center"/>
    </xf>
    <xf numFmtId="164" fontId="6" fillId="2" borderId="13" xfId="18" applyNumberFormat="1" applyFont="1" applyFill="1" applyBorder="1" applyAlignment="1">
      <alignment vertical="center"/>
    </xf>
    <xf numFmtId="164" fontId="6" fillId="2" borderId="8" xfId="18" applyNumberFormat="1" applyFont="1" applyFill="1" applyBorder="1" applyAlignment="1">
      <alignment horizontal="left"/>
    </xf>
    <xf numFmtId="164" fontId="3" fillId="2" borderId="8" xfId="18" applyNumberFormat="1" applyFont="1" applyFill="1" applyBorder="1" applyAlignment="1">
      <alignment vertical="center"/>
    </xf>
    <xf numFmtId="164" fontId="6" fillId="2" borderId="8" xfId="18" applyNumberFormat="1" applyFont="1" applyFill="1" applyBorder="1" applyAlignment="1">
      <alignment horizontal="left" vertical="center"/>
    </xf>
    <xf numFmtId="0" fontId="1" fillId="2" borderId="8" xfId="20" applyFont="1" applyFill="1" applyBorder="1">
      <alignment/>
      <protection/>
    </xf>
    <xf numFmtId="43" fontId="6" fillId="2" borderId="8" xfId="18" applyFont="1" applyFill="1" applyBorder="1" applyAlignment="1">
      <alignment vertical="center"/>
    </xf>
    <xf numFmtId="164" fontId="3" fillId="2" borderId="5" xfId="18" applyNumberFormat="1" applyFont="1" applyFill="1" applyBorder="1" applyAlignment="1">
      <alignment horizontal="left" vertical="center"/>
    </xf>
    <xf numFmtId="0" fontId="1" fillId="2" borderId="5" xfId="20" applyFont="1" applyFill="1" applyBorder="1">
      <alignment/>
      <protection/>
    </xf>
    <xf numFmtId="37" fontId="6" fillId="2" borderId="4" xfId="21" applyFont="1" applyFill="1" applyBorder="1" applyAlignment="1">
      <alignment horizontal="left" vertical="center"/>
      <protection/>
    </xf>
    <xf numFmtId="164" fontId="6" fillId="2" borderId="4" xfId="18" applyNumberFormat="1" applyFont="1" applyFill="1" applyBorder="1" applyAlignment="1">
      <alignment vertical="center"/>
    </xf>
    <xf numFmtId="37" fontId="1" fillId="2" borderId="4" xfId="20" applyNumberFormat="1" applyFont="1" applyFill="1" applyBorder="1">
      <alignment/>
      <protection/>
    </xf>
    <xf numFmtId="43" fontId="1" fillId="2" borderId="0" xfId="18" applyFont="1" applyFill="1" applyAlignment="1">
      <alignment horizontal="right"/>
    </xf>
    <xf numFmtId="2" fontId="1" fillId="2" borderId="0" xfId="18" applyNumberFormat="1" applyFont="1" applyFill="1" applyAlignment="1">
      <alignment horizontal="center"/>
    </xf>
    <xf numFmtId="43" fontId="1" fillId="2" borderId="0" xfId="18" applyFont="1" applyFill="1" applyAlignment="1">
      <alignment horizontal="center"/>
    </xf>
    <xf numFmtId="2" fontId="1" fillId="2" borderId="0" xfId="20" applyNumberFormat="1" applyFont="1" applyFill="1" applyAlignment="1">
      <alignment horizontal="center"/>
      <protection/>
    </xf>
    <xf numFmtId="0" fontId="1" fillId="2" borderId="0" xfId="20" applyNumberFormat="1" applyFont="1" applyFill="1" applyAlignment="1">
      <alignment horizontal="center"/>
      <protection/>
    </xf>
    <xf numFmtId="2" fontId="1" fillId="2" borderId="0" xfId="20" applyNumberFormat="1" applyFont="1" applyFill="1" applyBorder="1" applyAlignment="1">
      <alignment horizontal="center"/>
      <protection/>
    </xf>
    <xf numFmtId="164" fontId="1" fillId="2" borderId="0" xfId="18" applyNumberFormat="1" applyFont="1" applyFill="1" applyAlignment="1">
      <alignment horizontal="center"/>
    </xf>
    <xf numFmtId="2" fontId="1" fillId="2" borderId="0" xfId="20" applyNumberFormat="1" applyFont="1" applyFill="1" applyAlignment="1">
      <alignment horizontal="center" wrapText="1"/>
      <protection/>
    </xf>
    <xf numFmtId="43" fontId="1" fillId="2" borderId="10" xfId="18" applyFont="1" applyFill="1" applyBorder="1" applyAlignment="1">
      <alignment horizontal="right"/>
    </xf>
    <xf numFmtId="2" fontId="1" fillId="2" borderId="10" xfId="18" applyNumberFormat="1" applyFont="1" applyFill="1" applyBorder="1" applyAlignment="1">
      <alignment horizontal="center"/>
    </xf>
    <xf numFmtId="37" fontId="3" fillId="2" borderId="0" xfId="21" applyFont="1" applyFill="1" applyAlignment="1">
      <alignment horizontal="left"/>
      <protection/>
    </xf>
    <xf numFmtId="37" fontId="6" fillId="2" borderId="0" xfId="21" applyFont="1" applyFill="1" applyBorder="1">
      <alignment/>
      <protection/>
    </xf>
    <xf numFmtId="0" fontId="1" fillId="2" borderId="0" xfId="0" applyFont="1" applyFill="1" applyAlignment="1">
      <alignment horizontal="left" vertical="top" wrapText="1"/>
    </xf>
    <xf numFmtId="43" fontId="1" fillId="2" borderId="0" xfId="18" applyFont="1" applyFill="1"/>
    <xf numFmtId="0" fontId="1" fillId="2" borderId="0" xfId="20" applyFont="1" applyFill="1">
      <alignment/>
      <protection/>
    </xf>
    <xf numFmtId="0" fontId="1" fillId="2" borderId="0" xfId="25" applyFont="1" applyFill="1" applyAlignment="1">
      <alignment horizontal="left" vertical="top" wrapText="1"/>
      <protection/>
    </xf>
    <xf numFmtId="0" fontId="1" fillId="2" borderId="0" xfId="26" applyFont="1" applyFill="1" applyAlignment="1">
      <alignment horizontal="left" vertical="top" wrapText="1"/>
      <protection/>
    </xf>
    <xf numFmtId="0" fontId="1" fillId="2" borderId="0" xfId="26" applyFont="1" applyFill="1" applyAlignment="1">
      <alignment/>
      <protection/>
    </xf>
    <xf numFmtId="0" fontId="1" fillId="2" borderId="0" xfId="0" applyFont="1" applyFill="1" applyAlignment="1">
      <alignment horizontal="left" vertical="top" wrapText="1"/>
    </xf>
    <xf numFmtId="0" fontId="1" fillId="2" borderId="0" xfId="20" applyFont="1" applyFill="1" applyAlignment="1">
      <alignment horizontal="left" vertical="top"/>
      <protection/>
    </xf>
    <xf numFmtId="43" fontId="2" fillId="2" borderId="0" xfId="18" applyFont="1" applyFill="1" applyAlignment="1">
      <alignment horizontal="left"/>
    </xf>
    <xf numFmtId="43" fontId="1" fillId="2" borderId="0" xfId="18" applyFont="1" applyFill="1" applyAlignment="1">
      <alignment horizontal="right"/>
    </xf>
    <xf numFmtId="164" fontId="1" fillId="2" borderId="0" xfId="20" applyNumberFormat="1" applyFont="1" applyFill="1">
      <alignment/>
      <protection/>
    </xf>
    <xf numFmtId="43" fontId="1" fillId="2" borderId="10" xfId="18" applyFont="1" applyFill="1" applyBorder="1" applyAlignment="1">
      <alignment horizontal="right"/>
    </xf>
    <xf numFmtId="164" fontId="1" fillId="2" borderId="10" xfId="20" applyNumberFormat="1" applyFont="1" applyFill="1" applyBorder="1">
      <alignment/>
      <protection/>
    </xf>
    <xf numFmtId="0" fontId="1" fillId="2" borderId="0" xfId="20" applyNumberFormat="1" applyFont="1" applyFill="1">
      <alignment/>
      <protection/>
    </xf>
    <xf numFmtId="0" fontId="1" fillId="2" borderId="0" xfId="20" applyFont="1" applyFill="1" applyBorder="1">
      <alignment/>
      <protection/>
    </xf>
    <xf numFmtId="164" fontId="1" fillId="2" borderId="0" xfId="18" applyNumberFormat="1" applyFont="1" applyFill="1"/>
    <xf numFmtId="0" fontId="1" fillId="2" borderId="0" xfId="20" applyFont="1" applyFill="1" applyAlignment="1">
      <alignment wrapText="1"/>
      <protection/>
    </xf>
    <xf numFmtId="10" fontId="1" fillId="2" borderId="10" xfId="20" applyNumberFormat="1" applyFont="1" applyFill="1"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6" xfId="23"/>
    <cellStyle name="Percent 15" xfId="24"/>
    <cellStyle name="Normal 10 2 6" xfId="25"/>
    <cellStyle name="Normal 18"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partments\DCHS\Budget\2017-2018%20Current%20Year\Supplementals\2017-2018%201st%20Omnibus\Financial%20Plans\Fund%201070%20-%20Fin%20Plan%20-%202017%20-%201st%20Omnibus%201.2%20ES.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teams\DCHS\finance\Shared%20Documents\Financial%20Plans\2016%20Q4\Fund%202240%20-%20Fin%20Plan%20-%202016%20Q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HS-SHARES01\HOME\inouyer\Notebooks\2015\2015\2015\EER\Budget\GL%20Restructure%20EER\EER%202016%20TASK%20BUDGET%20(Needs%20Updating)%2012-17%20r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ormatted Fin Plan 17 1st Sup"/>
      <sheetName val="Operating Financial Plan"/>
      <sheetName val="FIN PLAN PIVOT - REV - 2017"/>
      <sheetName val="FIN PLAN PIVOT - EXP - 2017"/>
      <sheetName val="FIN PLAN PIVOT - REV - 2016"/>
      <sheetName val="FIN PLAN PIVOT - EXP - 2016"/>
      <sheetName val="GL010 - JAN17"/>
      <sheetName val="1 - PA Exp Detail - Xxpa Projec"/>
      <sheetName val="GL_010_2015-2016"/>
      <sheetName val="GL030 - ASSET - 2016"/>
      <sheetName val="GL030 - LIABILITY - 2016"/>
      <sheetName val="GL030 - REV - 2016"/>
      <sheetName val="GL030 - EXP - 2016"/>
      <sheetName val="GL030 - FB - 2016"/>
      <sheetName val="GL030 - ASSET - 2014"/>
      <sheetName val="GL030 - LIABILITY - 2014"/>
      <sheetName val="GL030 - REV - 2014"/>
      <sheetName val="GL030 - EXP - 2014"/>
      <sheetName val="GL030 - FB - 2014"/>
      <sheetName val="Decision Packages"/>
      <sheetName val="Budget Rollup"/>
      <sheetName val="Revenue Pivot"/>
      <sheetName val="Contract Pivot"/>
      <sheetName val="Expenditure Pivot"/>
      <sheetName val="Personnel Pivot"/>
      <sheetName val="DCHS DDD EI"/>
      <sheetName val="DCHS DDD AE"/>
      <sheetName val="DCHS DDD ADS"/>
      <sheetName val="DCHS DDD CIOR"/>
      <sheetName val="DCHS DDD ADMIN"/>
      <sheetName val="macroRevenueDetail"/>
      <sheetName val="macroPositionDetail"/>
      <sheetName val="macroContractDetail"/>
      <sheetName val="macroLineDetail"/>
      <sheetName val="macroLineDetailAwards"/>
      <sheetName val="macroLoadPrograms"/>
      <sheetName val="pvtHyperion"/>
      <sheetName val="hyperionData"/>
      <sheetName val="Lookups"/>
      <sheetName val="Program Template"/>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of Contents"/>
      <sheetName val="2017-18  EER CenRates Alloc"/>
      <sheetName val="Operating Financial Plan"/>
      <sheetName val="EER Dec16 BTD Summary"/>
      <sheetName val="EER GL 010 2015-16 BTD 2-2-17"/>
      <sheetName val="2016Q4 Part Support $1,241,374"/>
      <sheetName val="2016 EER Part Support"/>
      <sheetName val="2015 EER Part Support $436K"/>
      <sheetName val="EERNov`16 PAExpDetail-Xxpa 2-2"/>
      <sheetName val="Decision Packages"/>
      <sheetName val="Budget Rollup"/>
      <sheetName val="Revenue Pivot"/>
      <sheetName val="Contract Pivot"/>
      <sheetName val="Expenditure Pivot"/>
      <sheetName val="Personnel Pivot"/>
      <sheetName val="DCHS EER ADMINISTRATION"/>
      <sheetName val="DCHS OUT OF SCHOOL-RENTON"/>
      <sheetName val="DCHS EER OUT OF SCHOOL LCN"/>
      <sheetName val="DCHS EER IN SCHOOL"/>
      <sheetName val="DCHS EER FACE FORWARD"/>
      <sheetName val="DCHS EER OPEN DOORS"/>
      <sheetName val="DCHS EER JUVENILE JUSTICE"/>
      <sheetName val="DCHS EER GANG PREV AND AVANZA"/>
      <sheetName val="DCHS EER NURSE FAMILY"/>
      <sheetName val="DCHS EER YOUTH AND FAMILY SVCS"/>
      <sheetName val="DCHS EER Clear Path to Empl"/>
      <sheetName val="DCHS EER KC JOBS INITIATIVE"/>
      <sheetName val="DCHS EER OPERATOR"/>
      <sheetName val="DCHS EER SUD Pilot"/>
      <sheetName val="DCHS EER CAREER CONNECTIONS"/>
      <sheetName val="DCHS EER HOMELESS EMPLOYMENT"/>
      <sheetName val="DCHS EER HERO"/>
      <sheetName val="DCHS EER WORKSOURCE"/>
      <sheetName val="macroRevenueDetail"/>
      <sheetName val="macroPositionDetail"/>
      <sheetName val="macroContractDetail"/>
      <sheetName val="macroLineDetail"/>
      <sheetName val="macroLineDetailAwards"/>
      <sheetName val="macroLoadPrograms"/>
      <sheetName val="pvtHyperion"/>
      <sheetName val="hyperionData"/>
      <sheetName val="Lookups"/>
      <sheetName val="Program Template"/>
      <sheetName val="EER Nov16 BTD Summary"/>
      <sheetName val="EER GL 010 2015-16 BTD 1-18-17"/>
      <sheetName val="2016Q4 Part Support $1,138,506"/>
      <sheetName val="EERNov`16 PAExpDetail-Xxpa 12-9"/>
    </sheetNames>
    <sheetDataSet>
      <sheetData sheetId="0"/>
      <sheetData sheetId="1">
        <row r="11">
          <cell r="G11">
            <v>2.62</v>
          </cell>
        </row>
        <row r="12">
          <cell r="G12">
            <v>7.49</v>
          </cell>
        </row>
        <row r="13">
          <cell r="G13">
            <v>1.37</v>
          </cell>
        </row>
        <row r="14">
          <cell r="G14">
            <v>3.98</v>
          </cell>
        </row>
        <row r="15">
          <cell r="G15">
            <v>4.19</v>
          </cell>
        </row>
        <row r="16">
          <cell r="G16">
            <v>0</v>
          </cell>
        </row>
        <row r="17">
          <cell r="G17">
            <v>3.05</v>
          </cell>
        </row>
        <row r="18">
          <cell r="G18">
            <v>1</v>
          </cell>
        </row>
        <row r="19">
          <cell r="G19">
            <v>1.2</v>
          </cell>
        </row>
        <row r="20">
          <cell r="G20">
            <v>0.5</v>
          </cell>
        </row>
        <row r="21">
          <cell r="G21">
            <v>2.5</v>
          </cell>
        </row>
        <row r="22">
          <cell r="G22">
            <v>0</v>
          </cell>
        </row>
        <row r="23">
          <cell r="G23">
            <v>0.45</v>
          </cell>
        </row>
        <row r="24">
          <cell r="G24">
            <v>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ER GL MAPPING 12-17"/>
      <sheetName val="EER GL MAPPING 12-9"/>
      <sheetName val="EER Tasks"/>
    </sheetNames>
    <sheetDataSet>
      <sheetData sheetId="0"/>
      <sheetData sheetId="1">
        <row r="7">
          <cell r="J7">
            <v>0</v>
          </cell>
        </row>
        <row r="8">
          <cell r="J8">
            <v>0</v>
          </cell>
        </row>
        <row r="9">
          <cell r="J9">
            <v>69321</v>
          </cell>
        </row>
        <row r="10">
          <cell r="J10">
            <v>554983</v>
          </cell>
        </row>
        <row r="11">
          <cell r="J11">
            <v>2750</v>
          </cell>
        </row>
        <row r="12">
          <cell r="J12">
            <v>15657</v>
          </cell>
        </row>
        <row r="13">
          <cell r="J13">
            <v>208765</v>
          </cell>
        </row>
        <row r="18">
          <cell r="J18">
            <v>105191</v>
          </cell>
        </row>
        <row r="19">
          <cell r="J19">
            <v>36724</v>
          </cell>
        </row>
        <row r="20">
          <cell r="J20">
            <v>155479</v>
          </cell>
        </row>
        <row r="25">
          <cell r="J25">
            <v>16250</v>
          </cell>
        </row>
        <row r="34">
          <cell r="J34">
            <v>16053</v>
          </cell>
        </row>
        <row r="35">
          <cell r="J35">
            <v>227502.5602815638</v>
          </cell>
        </row>
        <row r="36">
          <cell r="J36">
            <v>362217.4397184362</v>
          </cell>
        </row>
        <row r="37">
          <cell r="J37">
            <v>32850.5</v>
          </cell>
        </row>
        <row r="38">
          <cell r="J38">
            <v>69321</v>
          </cell>
        </row>
        <row r="39">
          <cell r="J39">
            <v>586274</v>
          </cell>
        </row>
        <row r="42">
          <cell r="J42">
            <v>110000</v>
          </cell>
        </row>
        <row r="43">
          <cell r="J43">
            <v>46253</v>
          </cell>
        </row>
        <row r="44">
          <cell r="J44">
            <v>239080</v>
          </cell>
        </row>
        <row r="45">
          <cell r="J45">
            <v>151195</v>
          </cell>
        </row>
        <row r="48">
          <cell r="J48">
            <v>23528</v>
          </cell>
        </row>
        <row r="50">
          <cell r="J50">
            <v>154302</v>
          </cell>
        </row>
        <row r="52">
          <cell r="J52">
            <v>65000</v>
          </cell>
        </row>
        <row r="53">
          <cell r="J53">
            <v>73836</v>
          </cell>
        </row>
        <row r="54">
          <cell r="J54">
            <v>35000</v>
          </cell>
        </row>
        <row r="59">
          <cell r="J59">
            <v>69000</v>
          </cell>
        </row>
        <row r="60">
          <cell r="J60">
            <v>133050</v>
          </cell>
        </row>
        <row r="61">
          <cell r="J61">
            <v>45000</v>
          </cell>
        </row>
        <row r="63">
          <cell r="J63">
            <v>41671</v>
          </cell>
        </row>
        <row r="64">
          <cell r="J64">
            <v>50275</v>
          </cell>
        </row>
        <row r="77">
          <cell r="J77">
            <v>7152</v>
          </cell>
        </row>
        <row r="78">
          <cell r="J78">
            <v>55250.5</v>
          </cell>
        </row>
        <row r="79">
          <cell r="J79">
            <v>55250.5</v>
          </cell>
        </row>
        <row r="80">
          <cell r="J80">
            <v>2500</v>
          </cell>
        </row>
        <row r="81">
          <cell r="J81">
            <v>2500</v>
          </cell>
        </row>
        <row r="82">
          <cell r="J82">
            <v>2500</v>
          </cell>
        </row>
        <row r="83">
          <cell r="J83">
            <v>60528</v>
          </cell>
        </row>
        <row r="100">
          <cell r="J100">
            <v>0</v>
          </cell>
        </row>
        <row r="104">
          <cell r="J104">
            <v>48412</v>
          </cell>
        </row>
        <row r="105">
          <cell r="J105">
            <v>134464</v>
          </cell>
        </row>
      </sheetData>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AM72"/>
  <sheetViews>
    <sheetView tabSelected="1" zoomScale="70" zoomScaleNormal="70" workbookViewId="0" topLeftCell="A21">
      <selection activeCell="AE35" sqref="AE35"/>
    </sheetView>
  </sheetViews>
  <sheetFormatPr defaultColWidth="9.140625" defaultRowHeight="12.75"/>
  <cols>
    <col min="1" max="1" width="39.28125" style="0" customWidth="1"/>
    <col min="2" max="2" width="14.7109375" style="0" customWidth="1"/>
    <col min="3" max="3" width="17.28125" style="0" customWidth="1"/>
    <col min="4" max="6" width="14.7109375" style="0" customWidth="1"/>
    <col min="7" max="7" width="15.7109375" style="0" customWidth="1"/>
    <col min="8" max="8" width="14.7109375" style="0" customWidth="1"/>
    <col min="9" max="9" width="1.7109375" style="0" customWidth="1"/>
    <col min="10" max="10" width="17.8515625" style="0" hidden="1" customWidth="1"/>
    <col min="11" max="11" width="18.00390625" style="0" hidden="1" customWidth="1"/>
    <col min="12" max="12" width="4.28125" style="0" hidden="1" customWidth="1"/>
    <col min="13" max="14" width="15.7109375" style="0" hidden="1" customWidth="1"/>
    <col min="15" max="15" width="12.140625" style="0" hidden="1" customWidth="1"/>
    <col min="16" max="16" width="13.57421875" style="0" hidden="1" customWidth="1"/>
    <col min="17" max="17" width="12.28125" style="0" hidden="1" customWidth="1"/>
    <col min="18" max="18" width="13.140625" style="0" hidden="1" customWidth="1"/>
    <col min="19" max="19" width="12.7109375" style="0" hidden="1" customWidth="1"/>
    <col min="20" max="20" width="11.28125" style="0" hidden="1" customWidth="1"/>
    <col min="21" max="21" width="11.57421875" style="0" hidden="1" customWidth="1"/>
    <col min="22" max="22" width="12.8515625" style="0" hidden="1" customWidth="1"/>
    <col min="23" max="23" width="13.140625" style="0" hidden="1" customWidth="1"/>
    <col min="24" max="24" width="12.8515625" style="0" hidden="1" customWidth="1"/>
    <col min="25" max="25" width="14.00390625" style="0" hidden="1" customWidth="1"/>
    <col min="26" max="26" width="9.140625" style="0" hidden="1" customWidth="1"/>
    <col min="27" max="27" width="15.00390625" style="0" hidden="1" customWidth="1"/>
    <col min="28" max="28" width="9.140625" style="0" hidden="1" customWidth="1"/>
    <col min="29" max="29" width="15.7109375" style="0" customWidth="1"/>
    <col min="30" max="30" width="13.28125" style="0" bestFit="1" customWidth="1"/>
    <col min="31" max="31" width="50.28125" style="0" customWidth="1"/>
    <col min="32" max="32" width="15.57421875" style="0" customWidth="1"/>
    <col min="33" max="33" width="45.00390625" style="0" customWidth="1"/>
    <col min="34" max="34" width="12.7109375" style="0" bestFit="1" customWidth="1"/>
    <col min="35" max="36" width="15.00390625" style="0" bestFit="1" customWidth="1"/>
  </cols>
  <sheetData>
    <row r="1" spans="1:39" ht="15.75">
      <c r="A1" s="1" t="s">
        <v>0</v>
      </c>
      <c r="B1" s="1"/>
      <c r="C1" s="1"/>
      <c r="D1" s="1"/>
      <c r="E1" s="1"/>
      <c r="F1" s="1"/>
      <c r="G1" s="1"/>
      <c r="H1" s="1"/>
      <c r="I1" s="2"/>
      <c r="J1" s="3"/>
      <c r="K1" s="3"/>
      <c r="L1" s="3"/>
      <c r="M1" s="3"/>
      <c r="N1" s="3"/>
      <c r="O1" s="4"/>
      <c r="P1" s="4"/>
      <c r="Q1" s="5"/>
      <c r="R1" s="5"/>
      <c r="S1" s="5"/>
      <c r="T1" s="5"/>
      <c r="U1" s="3"/>
      <c r="V1" s="3"/>
      <c r="W1" s="3"/>
      <c r="X1" s="3"/>
      <c r="Y1" s="3"/>
      <c r="Z1" s="3"/>
      <c r="AA1" s="6"/>
      <c r="AB1" s="3"/>
      <c r="AC1" s="3"/>
      <c r="AD1" s="3"/>
      <c r="AE1" s="3"/>
      <c r="AF1" s="3"/>
      <c r="AG1" s="7"/>
      <c r="AH1" s="3"/>
      <c r="AI1" s="3"/>
      <c r="AJ1" s="3"/>
      <c r="AK1" s="3"/>
      <c r="AL1" s="3"/>
      <c r="AM1" s="3"/>
    </row>
    <row r="2" spans="1:39" ht="15.75">
      <c r="A2" s="1" t="s">
        <v>1</v>
      </c>
      <c r="B2" s="1"/>
      <c r="C2" s="1"/>
      <c r="D2" s="1"/>
      <c r="E2" s="1"/>
      <c r="F2" s="1"/>
      <c r="G2" s="1"/>
      <c r="H2" s="1"/>
      <c r="I2" s="2"/>
      <c r="J2" s="8"/>
      <c r="K2" s="8"/>
      <c r="L2" s="8"/>
      <c r="M2" s="8"/>
      <c r="N2" s="8"/>
      <c r="O2" s="9"/>
      <c r="P2" s="9"/>
      <c r="Q2" s="5"/>
      <c r="R2" s="5"/>
      <c r="S2" s="5"/>
      <c r="T2" s="5"/>
      <c r="U2" s="3"/>
      <c r="V2" s="3"/>
      <c r="W2" s="3"/>
      <c r="X2" s="3"/>
      <c r="Y2" s="3"/>
      <c r="Z2" s="3"/>
      <c r="AA2" s="6"/>
      <c r="AB2" s="3"/>
      <c r="AC2" s="3"/>
      <c r="AD2" s="3"/>
      <c r="AE2" s="3"/>
      <c r="AF2" s="3"/>
      <c r="AG2" s="7"/>
      <c r="AH2" s="3"/>
      <c r="AI2" s="3"/>
      <c r="AJ2" s="3"/>
      <c r="AK2" s="3"/>
      <c r="AL2" s="3"/>
      <c r="AM2" s="10"/>
    </row>
    <row r="3" spans="1:39" ht="15.75">
      <c r="A3" s="11"/>
      <c r="B3" s="12"/>
      <c r="C3" s="12"/>
      <c r="D3" s="12"/>
      <c r="E3" s="12"/>
      <c r="F3" s="12"/>
      <c r="G3" s="12"/>
      <c r="H3" s="12"/>
      <c r="I3" s="2"/>
      <c r="J3" s="12" t="s">
        <v>2</v>
      </c>
      <c r="K3" s="12" t="s">
        <v>2</v>
      </c>
      <c r="L3" s="12"/>
      <c r="M3" s="12" t="s">
        <v>2</v>
      </c>
      <c r="N3" s="12" t="s">
        <v>2</v>
      </c>
      <c r="O3" s="13" t="s">
        <v>3</v>
      </c>
      <c r="P3" s="14"/>
      <c r="Q3" s="5"/>
      <c r="R3" s="5"/>
      <c r="S3" s="5"/>
      <c r="T3" s="5"/>
      <c r="U3" s="3"/>
      <c r="V3" s="3"/>
      <c r="W3" s="3"/>
      <c r="X3" s="3"/>
      <c r="Y3" s="3"/>
      <c r="Z3" s="3"/>
      <c r="AA3" s="6"/>
      <c r="AB3" s="3"/>
      <c r="AC3" s="3"/>
      <c r="AD3" s="3"/>
      <c r="AE3" s="3"/>
      <c r="AF3" s="3"/>
      <c r="AG3" s="7"/>
      <c r="AH3" s="3"/>
      <c r="AI3" s="3"/>
      <c r="AJ3" s="3"/>
      <c r="AK3" s="3"/>
      <c r="AL3" s="3"/>
      <c r="AM3" s="3"/>
    </row>
    <row r="4" spans="1:39" ht="15.75" hidden="1">
      <c r="A4" s="12"/>
      <c r="B4" s="12" t="s">
        <v>4</v>
      </c>
      <c r="C4" s="15">
        <v>42524</v>
      </c>
      <c r="D4" s="15"/>
      <c r="E4" s="15"/>
      <c r="F4" s="15"/>
      <c r="G4" s="12" t="s">
        <v>5</v>
      </c>
      <c r="H4" s="12" t="s">
        <v>5</v>
      </c>
      <c r="I4" s="2"/>
      <c r="J4" s="15">
        <f>+C4</f>
        <v>42524</v>
      </c>
      <c r="K4" s="15">
        <f>+J4</f>
        <v>42524</v>
      </c>
      <c r="L4" s="15"/>
      <c r="M4" s="15">
        <v>42508</v>
      </c>
      <c r="N4" s="15">
        <v>42508</v>
      </c>
      <c r="O4" s="14"/>
      <c r="P4" s="14"/>
      <c r="Q4" s="5"/>
      <c r="R4" s="5"/>
      <c r="S4" s="16" t="s">
        <v>6</v>
      </c>
      <c r="T4" s="5"/>
      <c r="U4" s="3"/>
      <c r="V4" s="16" t="s">
        <v>6</v>
      </c>
      <c r="W4" s="3"/>
      <c r="X4" s="3"/>
      <c r="Y4" s="16" t="s">
        <v>6</v>
      </c>
      <c r="Z4" s="3"/>
      <c r="AA4" s="6"/>
      <c r="AB4" s="3"/>
      <c r="AC4" s="3"/>
      <c r="AD4" s="3"/>
      <c r="AE4" s="3"/>
      <c r="AF4" s="3"/>
      <c r="AG4" s="7"/>
      <c r="AH4" s="3"/>
      <c r="AI4" s="3"/>
      <c r="AJ4" s="3"/>
      <c r="AK4" s="3"/>
      <c r="AL4" s="3"/>
      <c r="AM4" s="3"/>
    </row>
    <row r="5" spans="1:39" ht="15.75" hidden="1">
      <c r="A5" s="12"/>
      <c r="B5" s="12" t="s">
        <v>7</v>
      </c>
      <c r="C5" s="12" t="s">
        <v>7</v>
      </c>
      <c r="D5" s="12"/>
      <c r="E5" s="12"/>
      <c r="F5" s="12"/>
      <c r="G5" s="12" t="s">
        <v>7</v>
      </c>
      <c r="H5" s="12" t="s">
        <v>7</v>
      </c>
      <c r="I5" s="2"/>
      <c r="J5" s="17" t="s">
        <v>8</v>
      </c>
      <c r="K5" s="18"/>
      <c r="L5" s="18"/>
      <c r="M5" s="18"/>
      <c r="N5" s="18"/>
      <c r="O5" s="19" t="s">
        <v>9</v>
      </c>
      <c r="P5" s="19" t="s">
        <v>10</v>
      </c>
      <c r="Q5" s="20">
        <v>2017</v>
      </c>
      <c r="R5" s="20">
        <v>2018</v>
      </c>
      <c r="S5" s="20" t="s">
        <v>11</v>
      </c>
      <c r="T5" s="20">
        <v>2019</v>
      </c>
      <c r="U5" s="20">
        <v>2020</v>
      </c>
      <c r="V5" s="20" t="s">
        <v>12</v>
      </c>
      <c r="W5" s="20">
        <v>2021</v>
      </c>
      <c r="X5" s="20">
        <v>2022</v>
      </c>
      <c r="Y5" s="20" t="s">
        <v>13</v>
      </c>
      <c r="Z5" s="3"/>
      <c r="AA5" s="6"/>
      <c r="AB5" s="3"/>
      <c r="AC5" s="3"/>
      <c r="AD5" s="3"/>
      <c r="AE5" s="3"/>
      <c r="AF5" s="3"/>
      <c r="AG5" s="7"/>
      <c r="AH5" s="3"/>
      <c r="AI5" s="3"/>
      <c r="AJ5" s="3"/>
      <c r="AK5" s="3"/>
      <c r="AL5" s="3"/>
      <c r="AM5" s="3"/>
    </row>
    <row r="6" spans="1:39" ht="78.75">
      <c r="A6" s="21" t="s">
        <v>14</v>
      </c>
      <c r="B6" s="22" t="s">
        <v>15</v>
      </c>
      <c r="C6" s="22" t="s">
        <v>16</v>
      </c>
      <c r="D6" s="22" t="s">
        <v>17</v>
      </c>
      <c r="E6" s="22" t="s">
        <v>18</v>
      </c>
      <c r="F6" s="22" t="s">
        <v>19</v>
      </c>
      <c r="G6" s="22" t="s">
        <v>20</v>
      </c>
      <c r="H6" s="22" t="s">
        <v>21</v>
      </c>
      <c r="I6" s="2"/>
      <c r="J6" s="23" t="s">
        <v>22</v>
      </c>
      <c r="K6" s="23" t="s">
        <v>22</v>
      </c>
      <c r="L6" s="3"/>
      <c r="M6" s="23" t="s">
        <v>23</v>
      </c>
      <c r="N6" s="24" t="s">
        <v>24</v>
      </c>
      <c r="O6" s="25"/>
      <c r="P6" s="25"/>
      <c r="Q6" s="5"/>
      <c r="R6" s="5"/>
      <c r="S6" s="5"/>
      <c r="T6" s="5"/>
      <c r="U6" s="3"/>
      <c r="V6" s="3"/>
      <c r="W6" s="3"/>
      <c r="X6" s="3"/>
      <c r="Y6" s="3"/>
      <c r="Z6" s="3"/>
      <c r="AA6" s="6"/>
      <c r="AB6" s="3"/>
      <c r="AC6" s="3"/>
      <c r="AD6" s="3"/>
      <c r="AE6" s="3"/>
      <c r="AF6" s="3"/>
      <c r="AG6" s="26"/>
      <c r="AH6" s="3"/>
      <c r="AI6" s="3"/>
      <c r="AJ6" s="3"/>
      <c r="AK6" s="3"/>
      <c r="AL6" s="3"/>
      <c r="AM6" s="3"/>
    </row>
    <row r="7" spans="1:39" ht="15.75">
      <c r="A7" s="27" t="s">
        <v>25</v>
      </c>
      <c r="B7" s="28">
        <v>7252284</v>
      </c>
      <c r="C7" s="28">
        <v>6051317</v>
      </c>
      <c r="D7" s="28">
        <f>B32</f>
        <v>7547587.49000001</v>
      </c>
      <c r="E7" s="28">
        <f>+B32</f>
        <v>7547587.49000001</v>
      </c>
      <c r="F7" s="28">
        <f>+B32</f>
        <v>7547587.49000001</v>
      </c>
      <c r="G7" s="28">
        <f>+F32</f>
        <v>5734990.247085601</v>
      </c>
      <c r="H7" s="28">
        <f>G32</f>
        <v>4114410.623325065</v>
      </c>
      <c r="I7" s="2"/>
      <c r="J7" s="29" t="e">
        <f>+#REF!-C7</f>
        <v>#REF!</v>
      </c>
      <c r="K7" s="30" t="e">
        <f>IF(#REF!&gt;=1,ROUND(C7/#REF!,9),0)</f>
        <v>#REF!</v>
      </c>
      <c r="L7" s="3"/>
      <c r="M7" s="29" t="e">
        <f>+#REF!-#REF!</f>
        <v>#REF!</v>
      </c>
      <c r="N7" s="31" t="e">
        <f>IF(#REF!&gt;=1,ROUND(#REF!/#REF!,9),0)</f>
        <v>#REF!</v>
      </c>
      <c r="O7" s="32"/>
      <c r="P7" s="32"/>
      <c r="Q7" s="33"/>
      <c r="R7" s="5"/>
      <c r="S7" s="5"/>
      <c r="T7" s="5"/>
      <c r="U7" s="3"/>
      <c r="V7" s="3"/>
      <c r="W7" s="3"/>
      <c r="X7" s="3"/>
      <c r="Y7" s="3"/>
      <c r="Z7" s="3"/>
      <c r="AA7" s="6"/>
      <c r="AB7" s="3"/>
      <c r="AC7" s="3"/>
      <c r="AD7" s="3"/>
      <c r="AE7" s="3"/>
      <c r="AF7" s="3"/>
      <c r="AG7" s="7"/>
      <c r="AH7" s="3"/>
      <c r="AI7" s="3"/>
      <c r="AJ7" s="3"/>
      <c r="AK7" s="3"/>
      <c r="AL7" s="3"/>
      <c r="AM7" s="3"/>
    </row>
    <row r="8" spans="1:39" ht="15.75">
      <c r="A8" s="34" t="s">
        <v>26</v>
      </c>
      <c r="B8" s="35"/>
      <c r="C8" s="36"/>
      <c r="D8" s="36"/>
      <c r="E8" s="36"/>
      <c r="F8" s="36"/>
      <c r="G8" s="36"/>
      <c r="H8" s="36"/>
      <c r="I8" s="2"/>
      <c r="J8" s="37"/>
      <c r="K8" s="38"/>
      <c r="L8" s="3"/>
      <c r="M8" s="37"/>
      <c r="N8" s="39"/>
      <c r="O8" s="40"/>
      <c r="P8" s="40"/>
      <c r="Q8" s="5"/>
      <c r="R8" s="5"/>
      <c r="S8" s="5"/>
      <c r="T8" s="5"/>
      <c r="U8" s="3"/>
      <c r="V8" s="3"/>
      <c r="W8" s="3"/>
      <c r="X8" s="3"/>
      <c r="Y8" s="3"/>
      <c r="Z8" s="3"/>
      <c r="AA8" s="6"/>
      <c r="AB8" s="3"/>
      <c r="AC8" s="3"/>
      <c r="AD8" s="3"/>
      <c r="AE8" s="3"/>
      <c r="AF8" s="3"/>
      <c r="AG8" s="7"/>
      <c r="AH8" s="3"/>
      <c r="AI8" s="3"/>
      <c r="AJ8" s="3"/>
      <c r="AK8" s="3"/>
      <c r="AL8" s="3"/>
      <c r="AM8" s="3"/>
    </row>
    <row r="9" spans="1:39" ht="15.75">
      <c r="A9" s="41" t="s">
        <v>27</v>
      </c>
      <c r="B9" s="42">
        <v>4460677.42</v>
      </c>
      <c r="C9" s="43">
        <v>4951770</v>
      </c>
      <c r="D9" s="43">
        <v>4951770</v>
      </c>
      <c r="E9" s="43">
        <v>0</v>
      </c>
      <c r="F9" s="43">
        <f>+D9</f>
        <v>4951770</v>
      </c>
      <c r="G9" s="43">
        <f>+C9</f>
        <v>4951770</v>
      </c>
      <c r="H9" s="43">
        <f aca="true" t="shared" si="0" ref="H9:H15">+G9</f>
        <v>4951770</v>
      </c>
      <c r="I9" s="2"/>
      <c r="J9" s="44" t="e">
        <f>+#REF!-C9</f>
        <v>#REF!</v>
      </c>
      <c r="K9" s="30" t="e">
        <f>IF(#REF!&gt;=1,ROUND(C9/#REF!,9),0)</f>
        <v>#REF!</v>
      </c>
      <c r="L9" s="3"/>
      <c r="M9" s="44" t="e">
        <f>+#REF!-#REF!</f>
        <v>#REF!</v>
      </c>
      <c r="N9" s="45" t="e">
        <f>IF(#REF!&gt;=1,ROUND(#REF!/#REF!,9),0)</f>
        <v>#REF!</v>
      </c>
      <c r="O9" s="46"/>
      <c r="P9" s="32"/>
      <c r="Q9" s="5"/>
      <c r="R9" s="5"/>
      <c r="S9" s="5"/>
      <c r="T9" s="5"/>
      <c r="U9" s="3"/>
      <c r="V9" s="3"/>
      <c r="W9" s="3"/>
      <c r="X9" s="3"/>
      <c r="Y9" s="3"/>
      <c r="Z9" s="3"/>
      <c r="AA9" s="6"/>
      <c r="AB9" s="3"/>
      <c r="AC9" s="47"/>
      <c r="AD9" s="47"/>
      <c r="AE9" s="3"/>
      <c r="AF9" s="3"/>
      <c r="AG9" s="7"/>
      <c r="AH9" s="3"/>
      <c r="AI9" s="48"/>
      <c r="AJ9" s="48"/>
      <c r="AK9" s="3"/>
      <c r="AL9" s="3"/>
      <c r="AM9" s="3"/>
    </row>
    <row r="10" spans="1:39" ht="15.75">
      <c r="A10" s="41" t="s">
        <v>28</v>
      </c>
      <c r="B10" s="42">
        <v>48407515.45</v>
      </c>
      <c r="C10" s="43">
        <v>51488890</v>
      </c>
      <c r="D10" s="43">
        <v>51488890</v>
      </c>
      <c r="E10" s="43">
        <v>0</v>
      </c>
      <c r="F10" s="43">
        <f aca="true" t="shared" si="1" ref="F10:F15">+D10</f>
        <v>51488890</v>
      </c>
      <c r="G10" s="43">
        <f>+C10+914448</f>
        <v>52403338</v>
      </c>
      <c r="H10" s="43">
        <f>+G10+914448+1659979</f>
        <v>54977765</v>
      </c>
      <c r="I10" s="2"/>
      <c r="J10" s="44" t="e">
        <f>+#REF!-C10</f>
        <v>#REF!</v>
      </c>
      <c r="K10" s="30" t="e">
        <f>IF(#REF!&gt;=1,ROUND(C10/#REF!,9),0)</f>
        <v>#REF!</v>
      </c>
      <c r="L10" s="3"/>
      <c r="M10" s="44" t="e">
        <f>+#REF!-#REF!</f>
        <v>#REF!</v>
      </c>
      <c r="N10" s="45" t="e">
        <f>IF(#REF!&gt;=1,ROUND(#REF!/#REF!,9),0)</f>
        <v>#REF!</v>
      </c>
      <c r="O10" s="46"/>
      <c r="P10" s="32"/>
      <c r="Q10" s="5"/>
      <c r="R10" s="5"/>
      <c r="S10" s="5"/>
      <c r="T10" s="5"/>
      <c r="U10" s="3"/>
      <c r="V10" s="3"/>
      <c r="W10" s="3"/>
      <c r="X10" s="3"/>
      <c r="Y10" s="3"/>
      <c r="Z10" s="3"/>
      <c r="AA10" s="6"/>
      <c r="AB10" s="3"/>
      <c r="AC10" s="47"/>
      <c r="AD10" s="47"/>
      <c r="AE10" s="47"/>
      <c r="AF10" s="3"/>
      <c r="AG10" s="7"/>
      <c r="AH10" s="3"/>
      <c r="AI10" s="2"/>
      <c r="AJ10" s="2"/>
      <c r="AK10" s="3"/>
      <c r="AL10" s="3"/>
      <c r="AM10" s="3"/>
    </row>
    <row r="11" spans="1:39" ht="16.5" thickBot="1">
      <c r="A11" s="41" t="s">
        <v>29</v>
      </c>
      <c r="B11" s="42">
        <v>6276350.7700000005</v>
      </c>
      <c r="C11" s="43">
        <v>6600391</v>
      </c>
      <c r="D11" s="43">
        <v>6600391</v>
      </c>
      <c r="E11" s="43">
        <v>7556.190000000002</v>
      </c>
      <c r="F11" s="43">
        <f t="shared" si="1"/>
        <v>6600391</v>
      </c>
      <c r="G11" s="43">
        <f>+ROUND(((6847347+7006665)/2),0)</f>
        <v>6927006</v>
      </c>
      <c r="H11" s="43">
        <f>+ROUND(((7165782+7327465)/2),0)</f>
        <v>7246624</v>
      </c>
      <c r="I11" s="2"/>
      <c r="J11" s="44" t="e">
        <f>+#REF!-C11</f>
        <v>#REF!</v>
      </c>
      <c r="K11" s="30" t="e">
        <f>IF(#REF!&gt;=1,ROUND(C11/#REF!,9),0)</f>
        <v>#REF!</v>
      </c>
      <c r="L11" s="3"/>
      <c r="M11" s="44" t="e">
        <f>+#REF!-#REF!</f>
        <v>#REF!</v>
      </c>
      <c r="N11" s="45" t="e">
        <f>IF(#REF!&gt;=1,ROUND(#REF!/#REF!,9),0)</f>
        <v>#REF!</v>
      </c>
      <c r="O11" s="49" t="s">
        <v>30</v>
      </c>
      <c r="P11" s="50">
        <v>31111</v>
      </c>
      <c r="Q11" s="51">
        <v>6539862</v>
      </c>
      <c r="R11" s="51">
        <v>6707231</v>
      </c>
      <c r="S11" s="51">
        <f>SUM(Q11:R11)</f>
        <v>13247093</v>
      </c>
      <c r="T11" s="51">
        <v>6874851</v>
      </c>
      <c r="U11" s="51">
        <v>7042934</v>
      </c>
      <c r="V11" s="51">
        <f>SUM(S11:U11)</f>
        <v>27164878</v>
      </c>
      <c r="W11" s="51">
        <v>7212347</v>
      </c>
      <c r="X11" s="51">
        <v>7387278</v>
      </c>
      <c r="Y11" s="51">
        <f>SUM(W11:X11)</f>
        <v>14599625</v>
      </c>
      <c r="Z11" s="6"/>
      <c r="AA11" s="6"/>
      <c r="AB11" s="3"/>
      <c r="AC11" s="47"/>
      <c r="AD11" s="47"/>
      <c r="AE11" s="3"/>
      <c r="AF11" s="3"/>
      <c r="AG11" s="7"/>
      <c r="AH11" s="3"/>
      <c r="AI11" s="48"/>
      <c r="AJ11" s="48"/>
      <c r="AK11" s="3"/>
      <c r="AL11" s="3"/>
      <c r="AM11" s="3"/>
    </row>
    <row r="12" spans="1:39" ht="16.5" thickTop="1">
      <c r="A12" s="41" t="s">
        <v>31</v>
      </c>
      <c r="B12" s="42">
        <v>432220</v>
      </c>
      <c r="C12" s="43">
        <v>0</v>
      </c>
      <c r="D12" s="43">
        <v>0</v>
      </c>
      <c r="E12" s="43">
        <v>-162860</v>
      </c>
      <c r="F12" s="43">
        <v>11255403</v>
      </c>
      <c r="G12" s="43">
        <f>12372105+1942593+134298</f>
        <v>14448996</v>
      </c>
      <c r="H12" s="43">
        <f>15712483+2059148-2371493</f>
        <v>15400138</v>
      </c>
      <c r="I12" s="2"/>
      <c r="J12" s="44" t="e">
        <f>+#REF!-C12</f>
        <v>#REF!</v>
      </c>
      <c r="K12" s="30" t="e">
        <f>IF(#REF!&gt;=1,ROUND(C12/#REF!,9),0)</f>
        <v>#REF!</v>
      </c>
      <c r="L12" s="3"/>
      <c r="M12" s="44" t="e">
        <f>+#REF!-#REF!</f>
        <v>#REF!</v>
      </c>
      <c r="N12" s="45" t="e">
        <f>IF(#REF!&gt;=1,ROUND(#REF!/#REF!,9),0)</f>
        <v>#REF!</v>
      </c>
      <c r="O12" s="46">
        <v>0.5</v>
      </c>
      <c r="P12" s="32">
        <f>+P11</f>
        <v>31111</v>
      </c>
      <c r="Q12" s="52">
        <f>ROUND(Q11/2,0)</f>
        <v>3269931</v>
      </c>
      <c r="R12" s="52">
        <f>ROUND(R11/2,0)</f>
        <v>3353616</v>
      </c>
      <c r="S12" s="52">
        <f aca="true" t="shared" si="2" ref="S12:S14">SUM(Q12:R12)</f>
        <v>6623547</v>
      </c>
      <c r="T12" s="52">
        <f>ROUND(T11/2,0)</f>
        <v>3437426</v>
      </c>
      <c r="U12" s="52">
        <f>ROUND(U11/2,0)</f>
        <v>3521467</v>
      </c>
      <c r="V12" s="52">
        <f aca="true" t="shared" si="3" ref="V12:V14">SUM(T12:U12)</f>
        <v>6958893</v>
      </c>
      <c r="W12" s="52">
        <f>ROUND(W11/2,0)</f>
        <v>3606174</v>
      </c>
      <c r="X12" s="52">
        <f>ROUND(X11/2,0)</f>
        <v>3693639</v>
      </c>
      <c r="Y12" s="52">
        <f aca="true" t="shared" si="4" ref="Y12:Y14">SUM(W12:X12)</f>
        <v>7299813</v>
      </c>
      <c r="Z12" s="6"/>
      <c r="AA12" s="6"/>
      <c r="AB12" s="3"/>
      <c r="AC12" s="47"/>
      <c r="AD12" s="47"/>
      <c r="AE12" s="3"/>
      <c r="AF12" s="3"/>
      <c r="AG12" s="26"/>
      <c r="AH12" s="3"/>
      <c r="AI12" s="2"/>
      <c r="AJ12" s="2"/>
      <c r="AK12" s="3"/>
      <c r="AL12" s="3"/>
      <c r="AM12" s="3"/>
    </row>
    <row r="13" spans="1:39" ht="15.75">
      <c r="A13" s="41" t="s">
        <v>32</v>
      </c>
      <c r="B13" s="42">
        <v>870836.09</v>
      </c>
      <c r="C13" s="43">
        <v>792294</v>
      </c>
      <c r="D13" s="43">
        <v>792294</v>
      </c>
      <c r="E13" s="43">
        <v>0</v>
      </c>
      <c r="F13" s="43">
        <f t="shared" si="1"/>
        <v>792294</v>
      </c>
      <c r="G13" s="43">
        <f>+C13</f>
        <v>792294</v>
      </c>
      <c r="H13" s="43">
        <f t="shared" si="0"/>
        <v>792294</v>
      </c>
      <c r="I13" s="2"/>
      <c r="J13" s="44" t="e">
        <f>+#REF!-C13</f>
        <v>#REF!</v>
      </c>
      <c r="K13" s="30" t="e">
        <f>IF(#REF!&gt;=1,ROUND(C13/#REF!,9),0)</f>
        <v>#REF!</v>
      </c>
      <c r="L13" s="3"/>
      <c r="M13" s="44" t="e">
        <f>+#REF!-#REF!</f>
        <v>#REF!</v>
      </c>
      <c r="N13" s="45" t="e">
        <f>IF(#REF!&gt;=1,ROUND(#REF!/#REF!,9),0)</f>
        <v>#REF!</v>
      </c>
      <c r="O13" s="46">
        <v>1</v>
      </c>
      <c r="P13" s="32">
        <v>31210</v>
      </c>
      <c r="Q13" s="52">
        <v>3386</v>
      </c>
      <c r="R13" s="52">
        <v>3386</v>
      </c>
      <c r="S13" s="52">
        <f t="shared" si="2"/>
        <v>6772</v>
      </c>
      <c r="T13" s="52">
        <v>3386</v>
      </c>
      <c r="U13" s="52">
        <v>3386</v>
      </c>
      <c r="V13" s="52">
        <f t="shared" si="3"/>
        <v>6772</v>
      </c>
      <c r="W13" s="52">
        <v>3386</v>
      </c>
      <c r="X13" s="52">
        <v>3386</v>
      </c>
      <c r="Y13" s="52">
        <f t="shared" si="4"/>
        <v>6772</v>
      </c>
      <c r="Z13" s="6"/>
      <c r="AA13" s="6"/>
      <c r="AB13" s="3"/>
      <c r="AC13" s="47"/>
      <c r="AD13" s="47"/>
      <c r="AE13" s="3"/>
      <c r="AF13" s="3"/>
      <c r="AG13" s="7"/>
      <c r="AH13" s="3"/>
      <c r="AI13" s="3"/>
      <c r="AJ13" s="48"/>
      <c r="AK13" s="3"/>
      <c r="AL13" s="3"/>
      <c r="AM13" s="3"/>
    </row>
    <row r="14" spans="1:39" ht="15.75">
      <c r="A14" s="41" t="s">
        <v>33</v>
      </c>
      <c r="B14" s="42">
        <v>0</v>
      </c>
      <c r="C14" s="43">
        <v>0</v>
      </c>
      <c r="D14" s="43">
        <v>0</v>
      </c>
      <c r="E14" s="43">
        <v>0</v>
      </c>
      <c r="F14" s="43">
        <f t="shared" si="1"/>
        <v>0</v>
      </c>
      <c r="G14" s="43">
        <f>+C14</f>
        <v>0</v>
      </c>
      <c r="H14" s="43">
        <f t="shared" si="0"/>
        <v>0</v>
      </c>
      <c r="I14" s="2"/>
      <c r="J14" s="44" t="e">
        <f>+#REF!-C14</f>
        <v>#REF!</v>
      </c>
      <c r="K14" s="30" t="e">
        <f>IF(#REF!&gt;=1,ROUND(C14/#REF!,9),0)</f>
        <v>#REF!</v>
      </c>
      <c r="L14" s="3"/>
      <c r="M14" s="44" t="e">
        <f>+#REF!-#REF!</f>
        <v>#REF!</v>
      </c>
      <c r="N14" s="45" t="e">
        <f>IF(#REF!&gt;=1,ROUND(#REF!/#REF!,9),0)</f>
        <v>#REF!</v>
      </c>
      <c r="O14" s="46">
        <v>1</v>
      </c>
      <c r="P14" s="32">
        <v>31720</v>
      </c>
      <c r="Q14" s="52">
        <v>12857</v>
      </c>
      <c r="R14" s="52">
        <v>12857</v>
      </c>
      <c r="S14" s="52">
        <f t="shared" si="2"/>
        <v>25714</v>
      </c>
      <c r="T14" s="52">
        <v>12857</v>
      </c>
      <c r="U14" s="52">
        <v>12857</v>
      </c>
      <c r="V14" s="52">
        <f t="shared" si="3"/>
        <v>25714</v>
      </c>
      <c r="W14" s="52">
        <v>12857</v>
      </c>
      <c r="X14" s="52">
        <v>12857</v>
      </c>
      <c r="Y14" s="52">
        <f t="shared" si="4"/>
        <v>25714</v>
      </c>
      <c r="Z14" s="6"/>
      <c r="AA14" s="6"/>
      <c r="AB14" s="3"/>
      <c r="AC14" s="47"/>
      <c r="AD14" s="47"/>
      <c r="AE14" s="3"/>
      <c r="AF14" s="3"/>
      <c r="AG14" s="7"/>
      <c r="AH14" s="3"/>
      <c r="AI14" s="3"/>
      <c r="AJ14" s="53"/>
      <c r="AK14" s="3"/>
      <c r="AL14" s="3"/>
      <c r="AM14" s="3"/>
    </row>
    <row r="15" spans="1:39" ht="16.5" thickBot="1">
      <c r="A15" s="41" t="s">
        <v>34</v>
      </c>
      <c r="B15" s="42">
        <v>-4058.2099999999955</v>
      </c>
      <c r="C15" s="43">
        <v>4844</v>
      </c>
      <c r="D15" s="43">
        <v>4844</v>
      </c>
      <c r="E15" s="43">
        <v>57.44</v>
      </c>
      <c r="F15" s="43">
        <f t="shared" si="1"/>
        <v>4844</v>
      </c>
      <c r="G15" s="43">
        <f>+C15</f>
        <v>4844</v>
      </c>
      <c r="H15" s="43">
        <f t="shared" si="0"/>
        <v>4844</v>
      </c>
      <c r="I15" s="2"/>
      <c r="J15" s="44" t="e">
        <f>+#REF!-C15</f>
        <v>#REF!</v>
      </c>
      <c r="K15" s="30" t="e">
        <f>IF(#REF!&gt;=1,ROUND(C15/#REF!,9),0)</f>
        <v>#REF!</v>
      </c>
      <c r="L15" s="3"/>
      <c r="M15" s="44" t="e">
        <f>+#REF!-#REF!</f>
        <v>#REF!</v>
      </c>
      <c r="N15" s="45" t="e">
        <f>IF(#REF!&gt;=1,ROUND(#REF!/#REF!,9),0)</f>
        <v>#REF!</v>
      </c>
      <c r="O15" s="54"/>
      <c r="P15" s="55" t="s">
        <v>35</v>
      </c>
      <c r="Q15" s="56">
        <f>SUM(Q12:Q14)</f>
        <v>3286174</v>
      </c>
      <c r="R15" s="56">
        <f aca="true" t="shared" si="5" ref="R15:Y15">SUM(R12:R14)</f>
        <v>3369859</v>
      </c>
      <c r="S15" s="56">
        <f t="shared" si="5"/>
        <v>6656033</v>
      </c>
      <c r="T15" s="56">
        <f t="shared" si="5"/>
        <v>3453669</v>
      </c>
      <c r="U15" s="56">
        <f t="shared" si="5"/>
        <v>3537710</v>
      </c>
      <c r="V15" s="56">
        <f t="shared" si="5"/>
        <v>6991379</v>
      </c>
      <c r="W15" s="56">
        <f t="shared" si="5"/>
        <v>3622417</v>
      </c>
      <c r="X15" s="56">
        <f t="shared" si="5"/>
        <v>3709882</v>
      </c>
      <c r="Y15" s="56">
        <f t="shared" si="5"/>
        <v>7332299</v>
      </c>
      <c r="Z15" s="6"/>
      <c r="AA15" s="6"/>
      <c r="AB15" s="3"/>
      <c r="AC15" s="47"/>
      <c r="AD15" s="47"/>
      <c r="AE15" s="3"/>
      <c r="AF15" s="3"/>
      <c r="AG15" s="7"/>
      <c r="AH15" s="3"/>
      <c r="AI15" s="3"/>
      <c r="AJ15" s="3"/>
      <c r="AK15" s="3"/>
      <c r="AL15" s="3"/>
      <c r="AM15" s="3"/>
    </row>
    <row r="16" spans="1:39" ht="17.25" thickBot="1" thickTop="1">
      <c r="A16" s="57"/>
      <c r="B16" s="58"/>
      <c r="C16" s="43"/>
      <c r="D16" s="43"/>
      <c r="E16" s="43"/>
      <c r="F16" s="43"/>
      <c r="G16" s="43"/>
      <c r="H16" s="43"/>
      <c r="I16" s="2"/>
      <c r="J16" s="44" t="e">
        <f>+#REF!-C16</f>
        <v>#REF!</v>
      </c>
      <c r="K16" s="30"/>
      <c r="L16" s="3"/>
      <c r="M16" s="44"/>
      <c r="N16" s="45" t="e">
        <f>IF(#REF!&gt;=1,ROUND(#REF!/#REF!,9),0)</f>
        <v>#REF!</v>
      </c>
      <c r="O16" s="59" t="s">
        <v>36</v>
      </c>
      <c r="P16" s="60"/>
      <c r="Q16" s="52"/>
      <c r="R16" s="52"/>
      <c r="S16" s="61">
        <f>+C11</f>
        <v>6600391</v>
      </c>
      <c r="T16" s="52"/>
      <c r="U16" s="6"/>
      <c r="V16" s="61">
        <f>+G11</f>
        <v>6927006</v>
      </c>
      <c r="W16" s="6"/>
      <c r="X16" s="6"/>
      <c r="Y16" s="61">
        <f>+H11</f>
        <v>7246624</v>
      </c>
      <c r="Z16" s="6"/>
      <c r="AA16" s="6"/>
      <c r="AB16" s="3"/>
      <c r="AC16" s="47"/>
      <c r="AD16" s="47"/>
      <c r="AE16" s="3"/>
      <c r="AF16" s="3"/>
      <c r="AG16" s="7"/>
      <c r="AH16" s="3"/>
      <c r="AI16" s="3"/>
      <c r="AJ16" s="3"/>
      <c r="AK16" s="3"/>
      <c r="AL16" s="3"/>
      <c r="AM16" s="3"/>
    </row>
    <row r="17" spans="1:32" ht="16.5" thickTop="1">
      <c r="A17" s="62" t="s">
        <v>37</v>
      </c>
      <c r="B17" s="63">
        <f aca="true" t="shared" si="6" ref="B17:H17">SUM(B9:B15)</f>
        <v>60443541.52000001</v>
      </c>
      <c r="C17" s="63">
        <f t="shared" si="6"/>
        <v>63838189</v>
      </c>
      <c r="D17" s="63">
        <f t="shared" si="6"/>
        <v>63838189</v>
      </c>
      <c r="E17" s="63">
        <f>SUM(E9:E15)</f>
        <v>-155246.37</v>
      </c>
      <c r="F17" s="63">
        <f t="shared" si="6"/>
        <v>75093592</v>
      </c>
      <c r="G17" s="63">
        <f t="shared" si="6"/>
        <v>79528248</v>
      </c>
      <c r="H17" s="64">
        <f t="shared" si="6"/>
        <v>83373435</v>
      </c>
      <c r="I17" s="2"/>
      <c r="J17" s="65" t="e">
        <f>+#REF!-C17</f>
        <v>#REF!</v>
      </c>
      <c r="K17" s="66" t="e">
        <f>IF(#REF!&gt;=1,ROUND(C17/#REF!,9),0)</f>
        <v>#REF!</v>
      </c>
      <c r="L17" s="3"/>
      <c r="M17" s="63" t="e">
        <f>SUM(M9:M15)</f>
        <v>#REF!</v>
      </c>
      <c r="N17" s="67" t="e">
        <f>IF(#REF!&gt;=1,ROUND(#REF!/#REF!,9),0)</f>
        <v>#REF!</v>
      </c>
      <c r="O17" s="68"/>
      <c r="P17" s="68"/>
      <c r="Q17" s="52"/>
      <c r="R17" s="52"/>
      <c r="S17" s="52">
        <f>+S15-S16</f>
        <v>55642</v>
      </c>
      <c r="T17" s="52"/>
      <c r="U17" s="6"/>
      <c r="V17" s="52">
        <f>+V15-V16</f>
        <v>64373</v>
      </c>
      <c r="W17" s="6"/>
      <c r="X17" s="6"/>
      <c r="Y17" s="52">
        <f>+Y15-Y16</f>
        <v>85675</v>
      </c>
      <c r="Z17" s="6"/>
      <c r="AA17" s="6"/>
      <c r="AB17" s="3"/>
      <c r="AC17" s="47"/>
      <c r="AD17" s="47"/>
      <c r="AE17" s="3"/>
      <c r="AF17" s="3"/>
    </row>
    <row r="18" spans="1:32" ht="15.75">
      <c r="A18" s="34" t="s">
        <v>38</v>
      </c>
      <c r="B18" s="69"/>
      <c r="C18" s="70"/>
      <c r="D18" s="70"/>
      <c r="E18" s="70"/>
      <c r="F18" s="70"/>
      <c r="G18" s="70"/>
      <c r="H18" s="70"/>
      <c r="I18" s="2"/>
      <c r="J18" s="37"/>
      <c r="K18" s="71"/>
      <c r="L18" s="3"/>
      <c r="M18" s="37"/>
      <c r="N18" s="72"/>
      <c r="O18" s="32"/>
      <c r="P18" s="32"/>
      <c r="Q18" s="52"/>
      <c r="R18" s="52"/>
      <c r="S18" s="52"/>
      <c r="T18" s="52"/>
      <c r="U18" s="6"/>
      <c r="V18" s="6"/>
      <c r="W18" s="6"/>
      <c r="X18" s="6"/>
      <c r="Y18" s="6"/>
      <c r="Z18" s="6"/>
      <c r="AA18" s="6"/>
      <c r="AB18" s="3"/>
      <c r="AC18" s="47"/>
      <c r="AD18" s="47"/>
      <c r="AE18" s="3"/>
      <c r="AF18" s="3"/>
    </row>
    <row r="19" spans="1:32" ht="15.75">
      <c r="A19" s="57" t="s">
        <v>39</v>
      </c>
      <c r="B19" s="69">
        <v>-4393722.11</v>
      </c>
      <c r="C19" s="43">
        <v>-5108015</v>
      </c>
      <c r="D19" s="43">
        <v>-5108015.242914401</v>
      </c>
      <c r="E19" s="43">
        <v>-208195.71000000005</v>
      </c>
      <c r="F19" s="43">
        <f>+D19-1837836</f>
        <v>-6945851.242914401</v>
      </c>
      <c r="G19" s="43">
        <f>+(F19*1.057)</f>
        <v>-7341764.763760521</v>
      </c>
      <c r="H19" s="43">
        <f>+G19*1.06</f>
        <v>-7782270.649586152</v>
      </c>
      <c r="I19" s="2"/>
      <c r="J19" s="44" t="e">
        <f>+#REF!-C19</f>
        <v>#REF!</v>
      </c>
      <c r="K19" s="30" t="e">
        <f>IF(#REF!&lt;=1,ROUND(C19/#REF!,9),0)</f>
        <v>#REF!</v>
      </c>
      <c r="L19" s="3"/>
      <c r="M19" s="44" t="e">
        <f>+#REF!-#REF!</f>
        <v>#REF!</v>
      </c>
      <c r="N19" s="45" t="e">
        <f>IF(#REF!&lt;=1,ROUND(#REF!/#REF!,9),0)</f>
        <v>#REF!</v>
      </c>
      <c r="O19" s="32"/>
      <c r="P19" s="32"/>
      <c r="Q19" s="52"/>
      <c r="R19" s="52"/>
      <c r="S19" s="52"/>
      <c r="T19" s="52"/>
      <c r="U19" s="6"/>
      <c r="V19" s="6"/>
      <c r="W19" s="6"/>
      <c r="X19" s="6"/>
      <c r="Y19" s="6"/>
      <c r="Z19" s="6"/>
      <c r="AA19" s="6"/>
      <c r="AB19" s="3"/>
      <c r="AC19" s="47"/>
      <c r="AD19" s="47"/>
      <c r="AE19" s="3"/>
      <c r="AF19" s="73"/>
    </row>
    <row r="20" spans="1:32" ht="15.75">
      <c r="A20" s="57" t="s">
        <v>40</v>
      </c>
      <c r="B20" s="69">
        <v>-186598.62999999995</v>
      </c>
      <c r="C20" s="43">
        <v>-59320</v>
      </c>
      <c r="D20" s="43">
        <v>-59320</v>
      </c>
      <c r="E20" s="43">
        <v>-6242.22</v>
      </c>
      <c r="F20" s="43">
        <f>+D20</f>
        <v>-59320</v>
      </c>
      <c r="G20" s="43">
        <f>+C20+(C20*0.058)</f>
        <v>-62760.56</v>
      </c>
      <c r="H20" s="43">
        <f>+G20+(G20*0.062)</f>
        <v>-66651.71472</v>
      </c>
      <c r="I20" s="2"/>
      <c r="J20" s="44" t="e">
        <f>+#REF!-C20</f>
        <v>#REF!</v>
      </c>
      <c r="K20" s="30" t="e">
        <f>IF(#REF!&lt;=1,ROUND(C20/#REF!,9),0)</f>
        <v>#REF!</v>
      </c>
      <c r="L20" s="3"/>
      <c r="M20" s="44" t="e">
        <f>+#REF!-#REF!</f>
        <v>#REF!</v>
      </c>
      <c r="N20" s="45" t="e">
        <f>IF(#REF!&lt;=1,ROUND(#REF!/#REF!,9),0)</f>
        <v>#REF!</v>
      </c>
      <c r="O20" s="32"/>
      <c r="P20" s="32"/>
      <c r="Q20" s="52"/>
      <c r="R20" s="52"/>
      <c r="S20" s="52"/>
      <c r="T20" s="52"/>
      <c r="U20" s="6"/>
      <c r="V20" s="6"/>
      <c r="W20" s="6"/>
      <c r="X20" s="6"/>
      <c r="Y20" s="6"/>
      <c r="Z20" s="6"/>
      <c r="AA20" s="6"/>
      <c r="AB20" s="3"/>
      <c r="AC20" s="47"/>
      <c r="AD20" s="47"/>
      <c r="AE20" s="3"/>
      <c r="AF20" s="74"/>
    </row>
    <row r="21" spans="1:32" ht="15.75">
      <c r="A21" s="57" t="s">
        <v>41</v>
      </c>
      <c r="B21" s="69">
        <v>-53602654.010000005</v>
      </c>
      <c r="C21" s="43">
        <v>-57627206</v>
      </c>
      <c r="D21" s="43">
        <v>-57627206</v>
      </c>
      <c r="E21" s="43">
        <v>-6427.800000000014</v>
      </c>
      <c r="F21" s="43">
        <f>+D21-354555-9417567</f>
        <v>-67399328</v>
      </c>
      <c r="G21" s="43">
        <f>+((F21+145000+354555)*1.06)-134297</f>
        <v>-71048056.38000001</v>
      </c>
      <c r="H21" s="75">
        <f>+G21-914448-895599+61012</f>
        <v>-72797091.38000001</v>
      </c>
      <c r="I21" s="2"/>
      <c r="J21" s="44" t="e">
        <f>+#REF!-C21</f>
        <v>#REF!</v>
      </c>
      <c r="K21" s="30" t="e">
        <f>IF(#REF!&lt;=1,ROUND(C21/#REF!,9),0)</f>
        <v>#REF!</v>
      </c>
      <c r="L21" s="3"/>
      <c r="M21" s="44" t="e">
        <f>+#REF!-#REF!</f>
        <v>#REF!</v>
      </c>
      <c r="N21" s="45" t="e">
        <f>IF(#REF!&lt;=1,ROUND(#REF!/#REF!,9),0)</f>
        <v>#REF!</v>
      </c>
      <c r="O21" s="32"/>
      <c r="P21" s="32"/>
      <c r="Q21" s="76"/>
      <c r="R21" s="52"/>
      <c r="S21" s="52"/>
      <c r="T21" s="52"/>
      <c r="U21" s="6"/>
      <c r="V21" s="6"/>
      <c r="W21" s="6"/>
      <c r="X21" s="6"/>
      <c r="Y21" s="6"/>
      <c r="Z21" s="6"/>
      <c r="AA21" s="6"/>
      <c r="AB21" s="3"/>
      <c r="AC21" s="47"/>
      <c r="AD21" s="47"/>
      <c r="AE21" s="3"/>
      <c r="AF21" s="74"/>
    </row>
    <row r="22" spans="1:32" ht="15.75">
      <c r="A22" s="57" t="s">
        <v>42</v>
      </c>
      <c r="B22" s="69">
        <v>-1687440.12</v>
      </c>
      <c r="C22" s="43">
        <v>-1978316</v>
      </c>
      <c r="D22" s="43">
        <v>-1978316</v>
      </c>
      <c r="E22" s="43">
        <v>-76879.23000000001</v>
      </c>
      <c r="F22" s="43">
        <f aca="true" t="shared" si="7" ref="F22:F23">+D22</f>
        <v>-1978316</v>
      </c>
      <c r="G22" s="43">
        <f>+C22+(C22*0.083)</f>
        <v>-2142516.228</v>
      </c>
      <c r="H22" s="43">
        <f>+G22+(G22*0.094)</f>
        <v>-2343912.753432</v>
      </c>
      <c r="I22" s="2"/>
      <c r="J22" s="44" t="e">
        <f>+#REF!-C22</f>
        <v>#REF!</v>
      </c>
      <c r="K22" s="30" t="e">
        <f>IF(#REF!&lt;=1,ROUND(C22/#REF!,9),0)</f>
        <v>#REF!</v>
      </c>
      <c r="L22" s="3"/>
      <c r="M22" s="44" t="e">
        <f>+#REF!-#REF!</f>
        <v>#REF!</v>
      </c>
      <c r="N22" s="45" t="e">
        <f>IF(#REF!&lt;=1,ROUND(#REF!/#REF!,9),0)</f>
        <v>#REF!</v>
      </c>
      <c r="O22" s="32"/>
      <c r="P22" s="32"/>
      <c r="Q22" s="77"/>
      <c r="R22" s="77"/>
      <c r="S22" s="77"/>
      <c r="T22" s="52"/>
      <c r="U22" s="6"/>
      <c r="V22" s="6"/>
      <c r="W22" s="6"/>
      <c r="X22" s="6"/>
      <c r="Y22" s="6"/>
      <c r="Z22" s="6"/>
      <c r="AA22" s="6"/>
      <c r="AB22" s="3"/>
      <c r="AC22" s="47"/>
      <c r="AD22" s="47"/>
      <c r="AE22" s="3"/>
      <c r="AF22" s="3"/>
    </row>
    <row r="23" spans="1:32" ht="15.75">
      <c r="A23" s="57" t="s">
        <v>43</v>
      </c>
      <c r="B23" s="69">
        <v>-277823.16000000003</v>
      </c>
      <c r="C23" s="43">
        <v>-523374</v>
      </c>
      <c r="D23" s="43">
        <v>-523374</v>
      </c>
      <c r="E23" s="43">
        <v>0</v>
      </c>
      <c r="F23" s="43">
        <f t="shared" si="7"/>
        <v>-523374</v>
      </c>
      <c r="G23" s="43">
        <f>+C23+(C23*0.058)</f>
        <v>-553729.692</v>
      </c>
      <c r="H23" s="43">
        <f>+G23+(G23*0.062)</f>
        <v>-588060.932904</v>
      </c>
      <c r="I23" s="2"/>
      <c r="J23" s="44" t="e">
        <f>+#REF!-C23</f>
        <v>#REF!</v>
      </c>
      <c r="K23" s="30" t="e">
        <f>IF(#REF!&gt;=1,ROUND(C23/#REF!,9),0)</f>
        <v>#REF!</v>
      </c>
      <c r="L23" s="3"/>
      <c r="M23" s="44" t="e">
        <f>+#REF!-#REF!</f>
        <v>#REF!</v>
      </c>
      <c r="N23" s="45" t="e">
        <f>IF(#REF!&lt;=1,ROUND(#REF!/#REF!,9),0)</f>
        <v>#REF!</v>
      </c>
      <c r="O23" s="32"/>
      <c r="P23" s="32"/>
      <c r="Q23" s="52"/>
      <c r="R23" s="52"/>
      <c r="S23" s="52"/>
      <c r="T23" s="5"/>
      <c r="U23" s="3"/>
      <c r="V23" s="3"/>
      <c r="W23" s="3"/>
      <c r="X23" s="3"/>
      <c r="Y23" s="3"/>
      <c r="Z23" s="3"/>
      <c r="AA23" s="6"/>
      <c r="AB23" s="3"/>
      <c r="AC23" s="47"/>
      <c r="AD23" s="47"/>
      <c r="AE23" s="3"/>
      <c r="AF23" s="3"/>
    </row>
    <row r="24" spans="1:32" ht="15.75">
      <c r="A24" s="57"/>
      <c r="B24" s="69"/>
      <c r="C24" s="43"/>
      <c r="D24" s="43"/>
      <c r="E24" s="43"/>
      <c r="F24" s="43"/>
      <c r="G24" s="43"/>
      <c r="H24" s="43"/>
      <c r="I24" s="2"/>
      <c r="J24" s="44" t="e">
        <f>+#REF!-C24</f>
        <v>#REF!</v>
      </c>
      <c r="K24" s="30" t="e">
        <f>IF(#REF!&gt;=1,ROUND(C24/#REF!,9),0)</f>
        <v>#REF!</v>
      </c>
      <c r="L24" s="3"/>
      <c r="M24" s="44" t="e">
        <f>+#REF!-#REF!</f>
        <v>#REF!</v>
      </c>
      <c r="N24" s="45" t="e">
        <f>IF(#REF!&gt;=1,ROUND(#REF!/#REF!,9),0)</f>
        <v>#REF!</v>
      </c>
      <c r="O24" s="32"/>
      <c r="P24" s="32"/>
      <c r="Q24" s="5"/>
      <c r="R24" s="5"/>
      <c r="S24" s="5"/>
      <c r="T24" s="5"/>
      <c r="U24" s="3"/>
      <c r="V24" s="3"/>
      <c r="W24" s="3"/>
      <c r="X24" s="3"/>
      <c r="Y24" s="3"/>
      <c r="Z24" s="3"/>
      <c r="AA24" s="6"/>
      <c r="AB24" s="3"/>
      <c r="AC24" s="47"/>
      <c r="AD24" s="47"/>
      <c r="AE24" s="3"/>
      <c r="AF24" s="3"/>
    </row>
    <row r="25" spans="1:32" ht="15.75">
      <c r="A25" s="57"/>
      <c r="B25" s="78"/>
      <c r="C25" s="43"/>
      <c r="D25" s="43"/>
      <c r="E25" s="43"/>
      <c r="F25" s="43"/>
      <c r="G25" s="43"/>
      <c r="H25" s="43"/>
      <c r="I25" s="2"/>
      <c r="J25" s="44" t="e">
        <f>+#REF!-C25</f>
        <v>#REF!</v>
      </c>
      <c r="K25" s="30" t="e">
        <f>IF(#REF!&gt;=1,ROUND(C25/#REF!,9),0)</f>
        <v>#REF!</v>
      </c>
      <c r="L25" s="3"/>
      <c r="M25" s="44" t="e">
        <f>+#REF!-#REF!</f>
        <v>#REF!</v>
      </c>
      <c r="N25" s="45" t="e">
        <f>IF(#REF!&gt;=1,ROUND(#REF!/#REF!,9),0)</f>
        <v>#REF!</v>
      </c>
      <c r="O25" s="32"/>
      <c r="P25" s="32"/>
      <c r="Q25" s="5"/>
      <c r="R25" s="5"/>
      <c r="S25" s="5"/>
      <c r="T25" s="5"/>
      <c r="U25" s="3"/>
      <c r="V25" s="3"/>
      <c r="W25" s="3"/>
      <c r="X25" s="3"/>
      <c r="Y25" s="3"/>
      <c r="Z25" s="3"/>
      <c r="AA25" s="6"/>
      <c r="AB25" s="3"/>
      <c r="AC25" s="47"/>
      <c r="AD25" s="47"/>
      <c r="AE25" s="3"/>
      <c r="AF25" s="3"/>
    </row>
    <row r="26" spans="1:32" ht="15.75">
      <c r="A26" s="62" t="s">
        <v>44</v>
      </c>
      <c r="B26" s="64">
        <f aca="true" t="shared" si="8" ref="B26:E26">SUM(B19:B24)</f>
        <v>-60148238.03</v>
      </c>
      <c r="C26" s="64">
        <f t="shared" si="8"/>
        <v>-65296231</v>
      </c>
      <c r="D26" s="64">
        <f t="shared" si="8"/>
        <v>-65296231.2429144</v>
      </c>
      <c r="E26" s="64">
        <f t="shared" si="8"/>
        <v>-297744.9600000001</v>
      </c>
      <c r="F26" s="64">
        <f>SUM(F19:F24)</f>
        <v>-76906189.24291441</v>
      </c>
      <c r="G26" s="64">
        <f>SUM(G19:G24)</f>
        <v>-81148827.62376054</v>
      </c>
      <c r="H26" s="64">
        <f>SUM(H19:H24)</f>
        <v>-83577987.43064217</v>
      </c>
      <c r="I26" s="2"/>
      <c r="J26" s="64" t="e">
        <f>SUM(J19:J24)</f>
        <v>#REF!</v>
      </c>
      <c r="K26" s="66" t="e">
        <f>IF(#REF!&lt;=1,ROUND(B26/#REF!,9),0)</f>
        <v>#REF!</v>
      </c>
      <c r="L26" s="3"/>
      <c r="M26" s="64" t="e">
        <f>SUM(M19:M24)</f>
        <v>#REF!</v>
      </c>
      <c r="N26" s="67" t="e">
        <f>IF(#REF!&lt;=1,ROUND(#REF!/#REF!,9),0)</f>
        <v>#REF!</v>
      </c>
      <c r="O26" s="68"/>
      <c r="P26" s="68"/>
      <c r="Q26" s="5"/>
      <c r="R26" s="5"/>
      <c r="S26" s="5"/>
      <c r="T26" s="5"/>
      <c r="U26" s="3"/>
      <c r="V26" s="3"/>
      <c r="W26" s="3"/>
      <c r="X26" s="3"/>
      <c r="Y26" s="3"/>
      <c r="Z26" s="3"/>
      <c r="AA26" s="6"/>
      <c r="AB26" s="3"/>
      <c r="AC26" s="47"/>
      <c r="AD26" s="47"/>
      <c r="AE26" s="48"/>
      <c r="AF26" s="48"/>
    </row>
    <row r="27" spans="1:32" ht="18">
      <c r="A27" s="79" t="s">
        <v>45</v>
      </c>
      <c r="B27" s="80"/>
      <c r="C27" s="81"/>
      <c r="D27" s="81"/>
      <c r="E27" s="81"/>
      <c r="F27" s="81"/>
      <c r="G27" s="81"/>
      <c r="H27" s="81"/>
      <c r="I27" s="2"/>
      <c r="J27" s="82"/>
      <c r="K27" s="83"/>
      <c r="L27" s="3"/>
      <c r="M27" s="82"/>
      <c r="N27" s="31"/>
      <c r="O27" s="32"/>
      <c r="P27" s="32"/>
      <c r="Q27" s="5"/>
      <c r="R27" s="5"/>
      <c r="S27" s="5"/>
      <c r="T27" s="5"/>
      <c r="U27" s="3"/>
      <c r="V27" s="3"/>
      <c r="W27" s="3"/>
      <c r="X27" s="3"/>
      <c r="Y27" s="3"/>
      <c r="Z27" s="3"/>
      <c r="AA27" s="6"/>
      <c r="AB27" s="3"/>
      <c r="AC27" s="3"/>
      <c r="AD27" s="3"/>
      <c r="AE27" s="48"/>
      <c r="AF27" s="48"/>
    </row>
    <row r="28" spans="1:32" ht="15.75">
      <c r="A28" s="34" t="s">
        <v>46</v>
      </c>
      <c r="B28" s="84"/>
      <c r="C28" s="43"/>
      <c r="D28" s="43"/>
      <c r="E28" s="43"/>
      <c r="F28" s="43"/>
      <c r="G28" s="43"/>
      <c r="H28" s="43"/>
      <c r="I28" s="2"/>
      <c r="J28" s="37"/>
      <c r="K28" s="71"/>
      <c r="L28" s="3"/>
      <c r="M28" s="44"/>
      <c r="N28" s="72"/>
      <c r="O28" s="32"/>
      <c r="P28" s="32"/>
      <c r="Q28" s="5"/>
      <c r="R28" s="5"/>
      <c r="S28" s="5"/>
      <c r="T28" s="5"/>
      <c r="U28" s="3"/>
      <c r="V28" s="3"/>
      <c r="W28" s="3"/>
      <c r="X28" s="3"/>
      <c r="Y28" s="3"/>
      <c r="Z28" s="3"/>
      <c r="AA28" s="6"/>
      <c r="AB28" s="3"/>
      <c r="AC28" s="48"/>
      <c r="AD28" s="3"/>
      <c r="AE28" s="3"/>
      <c r="AF28" s="3"/>
    </row>
    <row r="29" spans="1:32" ht="15.75">
      <c r="A29" s="85"/>
      <c r="B29" s="69"/>
      <c r="C29" s="69"/>
      <c r="D29" s="69"/>
      <c r="E29" s="69"/>
      <c r="F29" s="69"/>
      <c r="G29" s="69"/>
      <c r="H29" s="86"/>
      <c r="I29" s="2"/>
      <c r="J29" s="44" t="e">
        <f>+#REF!-C29</f>
        <v>#REF!</v>
      </c>
      <c r="K29" s="30" t="e">
        <f>IF(#REF!&gt;=1,ROUND(B29/#REF!,9),0)</f>
        <v>#REF!</v>
      </c>
      <c r="L29" s="3"/>
      <c r="M29" s="44" t="e">
        <f>+#REF!-#REF!</f>
        <v>#REF!</v>
      </c>
      <c r="N29" s="45" t="e">
        <f>IF(#REF!&gt;=1,ROUND(#REF!/#REF!,9),0)</f>
        <v>#REF!</v>
      </c>
      <c r="O29" s="32"/>
      <c r="P29" s="32"/>
      <c r="Q29" s="5"/>
      <c r="R29" s="5"/>
      <c r="S29" s="5"/>
      <c r="T29" s="5"/>
      <c r="U29" s="3"/>
      <c r="V29" s="3"/>
      <c r="W29" s="3"/>
      <c r="X29" s="3"/>
      <c r="Y29" s="3"/>
      <c r="Z29" s="3"/>
      <c r="AA29" s="6"/>
      <c r="AB29" s="3"/>
      <c r="AC29" s="3"/>
      <c r="AD29" s="3"/>
      <c r="AE29" s="3"/>
      <c r="AF29" s="3"/>
    </row>
    <row r="30" spans="1:32" ht="15.75">
      <c r="A30" s="85"/>
      <c r="B30" s="69"/>
      <c r="C30" s="69"/>
      <c r="D30" s="69"/>
      <c r="E30" s="69"/>
      <c r="F30" s="69"/>
      <c r="G30" s="69"/>
      <c r="H30" s="86"/>
      <c r="I30" s="2"/>
      <c r="J30" s="44"/>
      <c r="K30" s="30"/>
      <c r="L30" s="3"/>
      <c r="M30" s="44" t="e">
        <f>+#REF!-#REF!</f>
        <v>#REF!</v>
      </c>
      <c r="N30" s="45" t="e">
        <f>IF(#REF!&gt;=1,ROUND(#REF!/#REF!,9),0)</f>
        <v>#REF!</v>
      </c>
      <c r="O30" s="32"/>
      <c r="P30" s="32"/>
      <c r="Q30" s="5"/>
      <c r="R30" s="5"/>
      <c r="S30" s="5"/>
      <c r="T30" s="5"/>
      <c r="U30" s="3"/>
      <c r="V30" s="3"/>
      <c r="W30" s="3"/>
      <c r="X30" s="3"/>
      <c r="Y30" s="3"/>
      <c r="Z30" s="3"/>
      <c r="AA30" s="6"/>
      <c r="AB30" s="3"/>
      <c r="AC30" s="3"/>
      <c r="AD30" s="3"/>
      <c r="AE30" s="3"/>
      <c r="AF30" s="3"/>
    </row>
    <row r="31" spans="1:32" ht="15.75">
      <c r="A31" s="34" t="s">
        <v>47</v>
      </c>
      <c r="B31" s="64">
        <f aca="true" t="shared" si="9" ref="B31:H31">SUM(B29:B30)</f>
        <v>0</v>
      </c>
      <c r="C31" s="64">
        <f t="shared" si="9"/>
        <v>0</v>
      </c>
      <c r="D31" s="64">
        <f t="shared" si="9"/>
        <v>0</v>
      </c>
      <c r="E31" s="64">
        <f t="shared" si="9"/>
        <v>0</v>
      </c>
      <c r="F31" s="64">
        <f t="shared" si="9"/>
        <v>0</v>
      </c>
      <c r="G31" s="64">
        <f t="shared" si="9"/>
        <v>0</v>
      </c>
      <c r="H31" s="64">
        <f t="shared" si="9"/>
        <v>0</v>
      </c>
      <c r="I31" s="2"/>
      <c r="J31" s="44" t="e">
        <f>+#REF!-C31</f>
        <v>#REF!</v>
      </c>
      <c r="K31" s="87" t="e">
        <f>IF(#REF!&gt;=1,ROUND(B31/#REF!,9),0)</f>
        <v>#REF!</v>
      </c>
      <c r="L31" s="3"/>
      <c r="M31" s="88" t="e">
        <f>C31-#REF!</f>
        <v>#REF!</v>
      </c>
      <c r="N31" s="89" t="e">
        <f>IF(#REF!&gt;=1,ROUND(#REF!/#REF!,9),0)</f>
        <v>#REF!</v>
      </c>
      <c r="O31" s="32"/>
      <c r="P31" s="32"/>
      <c r="Q31" s="5"/>
      <c r="R31" s="5"/>
      <c r="S31" s="5"/>
      <c r="T31" s="5"/>
      <c r="U31" s="3"/>
      <c r="V31" s="3"/>
      <c r="W31" s="3"/>
      <c r="X31" s="3"/>
      <c r="Y31" s="3"/>
      <c r="Z31" s="3"/>
      <c r="AA31" s="6"/>
      <c r="AB31" s="3"/>
      <c r="AC31" s="3"/>
      <c r="AD31" s="3"/>
      <c r="AE31" s="3"/>
      <c r="AF31" s="3"/>
    </row>
    <row r="32" spans="1:32" ht="15.75">
      <c r="A32" s="79" t="s">
        <v>48</v>
      </c>
      <c r="B32" s="90">
        <f>B7+B17+B26+B27+B31</f>
        <v>7547587.49000001</v>
      </c>
      <c r="C32" s="90">
        <f>C7+C17+C26+C27+C31</f>
        <v>4593275</v>
      </c>
      <c r="D32" s="90">
        <f>D7+D17+D26+D27+D31</f>
        <v>6089545.247085609</v>
      </c>
      <c r="E32" s="90">
        <f aca="true" t="shared" si="10" ref="E32:F32">E7+E17+E26+E27+E31</f>
        <v>7094596.160000009</v>
      </c>
      <c r="F32" s="90">
        <f t="shared" si="10"/>
        <v>5734990.247085601</v>
      </c>
      <c r="G32" s="90">
        <f>G7+G17+G26+G27+G31</f>
        <v>4114410.623325065</v>
      </c>
      <c r="H32" s="90">
        <f>H7+H17+H26+H27+H31</f>
        <v>3909858.192682892</v>
      </c>
      <c r="I32" s="91"/>
      <c r="J32" s="90" t="e">
        <f>J7+J17+J26+J27+J31</f>
        <v>#REF!</v>
      </c>
      <c r="K32" s="92" t="e">
        <f>IF(#REF!&gt;=1,ROUND(B32/#REF!,9),0)</f>
        <v>#REF!</v>
      </c>
      <c r="L32" s="93"/>
      <c r="M32" s="90" t="e">
        <f>M7+M17+M26+M27+M31</f>
        <v>#REF!</v>
      </c>
      <c r="N32" s="94" t="e">
        <f>IF(#REF!&gt;=1,ROUND(#REF!/#REF!,9),0)</f>
        <v>#REF!</v>
      </c>
      <c r="O32" s="68"/>
      <c r="P32" s="68"/>
      <c r="Q32" s="5"/>
      <c r="R32" s="5"/>
      <c r="S32" s="5"/>
      <c r="T32" s="5"/>
      <c r="U32" s="3"/>
      <c r="V32" s="3"/>
      <c r="W32" s="3"/>
      <c r="X32" s="3"/>
      <c r="Y32" s="3"/>
      <c r="Z32" s="3"/>
      <c r="AA32" s="6"/>
      <c r="AB32" s="3"/>
      <c r="AC32" s="3"/>
      <c r="AD32" s="3"/>
      <c r="AE32" s="3"/>
      <c r="AF32" s="3"/>
    </row>
    <row r="33" spans="1:33" ht="15.75">
      <c r="A33" s="34" t="s">
        <v>49</v>
      </c>
      <c r="B33" s="84"/>
      <c r="C33" s="43"/>
      <c r="D33" s="43"/>
      <c r="E33" s="43"/>
      <c r="F33" s="43"/>
      <c r="G33" s="43"/>
      <c r="H33" s="43"/>
      <c r="I33" s="2"/>
      <c r="J33" s="37"/>
      <c r="K33" s="71"/>
      <c r="L33" s="3"/>
      <c r="M33" s="37"/>
      <c r="N33" s="72"/>
      <c r="O33" s="32"/>
      <c r="P33" s="32"/>
      <c r="Q33" s="5"/>
      <c r="R33" s="5"/>
      <c r="S33" s="5"/>
      <c r="T33" s="5"/>
      <c r="U33" s="3"/>
      <c r="V33" s="3"/>
      <c r="W33" s="3"/>
      <c r="X33" s="3"/>
      <c r="Y33" s="3"/>
      <c r="Z33" s="3"/>
      <c r="AA33" s="6"/>
      <c r="AB33" s="3"/>
      <c r="AC33" s="3"/>
      <c r="AD33" s="3"/>
      <c r="AE33" s="3"/>
      <c r="AF33" s="3"/>
      <c r="AG33" s="7"/>
    </row>
    <row r="34" spans="1:33" ht="15.75">
      <c r="A34" s="57" t="s">
        <v>50</v>
      </c>
      <c r="B34" s="95"/>
      <c r="C34" s="95"/>
      <c r="D34" s="95"/>
      <c r="E34" s="95"/>
      <c r="F34" s="95"/>
      <c r="G34" s="95"/>
      <c r="H34" s="95"/>
      <c r="I34" s="2"/>
      <c r="J34" s="44" t="e">
        <f>+#REF!-C34</f>
        <v>#REF!</v>
      </c>
      <c r="K34" s="30" t="e">
        <f>IF(#REF!&gt;=1,ROUND(B34/#REF!,9),0)</f>
        <v>#REF!</v>
      </c>
      <c r="L34" s="3"/>
      <c r="M34" s="44" t="e">
        <f>+#REF!-#REF!</f>
        <v>#REF!</v>
      </c>
      <c r="N34" s="45" t="e">
        <f>IF(#REF!&gt;=1,ROUND(#REF!/#REF!,9),0)</f>
        <v>#REF!</v>
      </c>
      <c r="O34" s="32"/>
      <c r="P34" s="32"/>
      <c r="Q34" s="5"/>
      <c r="R34" s="5"/>
      <c r="S34" s="5"/>
      <c r="T34" s="5"/>
      <c r="U34" s="3"/>
      <c r="V34" s="3"/>
      <c r="W34" s="3"/>
      <c r="X34" s="3"/>
      <c r="Y34" s="3"/>
      <c r="Z34" s="3"/>
      <c r="AA34" s="6"/>
      <c r="AB34" s="3"/>
      <c r="AC34" s="3"/>
      <c r="AD34" s="3"/>
      <c r="AE34" s="3"/>
      <c r="AF34" s="3"/>
      <c r="AG34" s="7"/>
    </row>
    <row r="35" spans="1:33" ht="15.75">
      <c r="A35" s="57" t="s">
        <v>51</v>
      </c>
      <c r="B35" s="96"/>
      <c r="C35" s="43"/>
      <c r="D35" s="43"/>
      <c r="E35" s="43"/>
      <c r="F35" s="43"/>
      <c r="G35" s="43"/>
      <c r="H35" s="43"/>
      <c r="I35" s="2"/>
      <c r="J35" s="44" t="e">
        <f>+#REF!-C35</f>
        <v>#REF!</v>
      </c>
      <c r="K35" s="30" t="e">
        <f>IF(#REF!&gt;=1,ROUND(B35/#REF!,9),0)</f>
        <v>#REF!</v>
      </c>
      <c r="L35" s="3"/>
      <c r="M35" s="44" t="e">
        <f>+#REF!-#REF!</f>
        <v>#REF!</v>
      </c>
      <c r="N35" s="45" t="e">
        <f>IF(#REF!&gt;=1,ROUND(#REF!/#REF!,9),0)</f>
        <v>#REF!</v>
      </c>
      <c r="O35" s="32"/>
      <c r="P35" s="32"/>
      <c r="Q35" s="5"/>
      <c r="R35" s="5"/>
      <c r="S35" s="5"/>
      <c r="T35" s="5"/>
      <c r="U35" s="3"/>
      <c r="V35" s="3"/>
      <c r="W35" s="3"/>
      <c r="X35" s="3"/>
      <c r="Y35" s="3"/>
      <c r="Z35" s="3"/>
      <c r="AA35" s="6"/>
      <c r="AB35" s="3"/>
      <c r="AC35" s="3"/>
      <c r="AD35" s="3"/>
      <c r="AE35" s="3"/>
      <c r="AF35" s="3"/>
      <c r="AG35" s="7"/>
    </row>
    <row r="36" spans="1:33" ht="18">
      <c r="A36" s="57" t="s">
        <v>52</v>
      </c>
      <c r="B36" s="96">
        <f>-145000-354555</f>
        <v>-499555</v>
      </c>
      <c r="C36" s="96">
        <v>0</v>
      </c>
      <c r="D36" s="96">
        <f>-145000-354555</f>
        <v>-499555</v>
      </c>
      <c r="E36" s="96">
        <f>-145000-354555</f>
        <v>-499555</v>
      </c>
      <c r="F36" s="96">
        <v>0</v>
      </c>
      <c r="G36" s="96">
        <v>0</v>
      </c>
      <c r="H36" s="96">
        <v>0</v>
      </c>
      <c r="I36" s="2"/>
      <c r="J36" s="44" t="e">
        <f>+#REF!-C36</f>
        <v>#REF!</v>
      </c>
      <c r="K36" s="30" t="e">
        <f>IF(#REF!&gt;=1,ROUND(B36/#REF!,9),0)</f>
        <v>#REF!</v>
      </c>
      <c r="L36" s="3"/>
      <c r="M36" s="44" t="e">
        <f>+#REF!-#REF!</f>
        <v>#REF!</v>
      </c>
      <c r="N36" s="45" t="e">
        <f>IF(#REF!&gt;=1,ROUND(#REF!/#REF!,9),0)</f>
        <v>#REF!</v>
      </c>
      <c r="O36" s="32"/>
      <c r="P36" s="32"/>
      <c r="Q36" s="5"/>
      <c r="R36" s="5"/>
      <c r="S36" s="5"/>
      <c r="T36" s="5"/>
      <c r="U36" s="3"/>
      <c r="V36" s="3"/>
      <c r="W36" s="3"/>
      <c r="X36" s="3"/>
      <c r="Y36" s="3"/>
      <c r="Z36" s="3"/>
      <c r="AA36" s="6"/>
      <c r="AB36" s="3"/>
      <c r="AC36" s="3"/>
      <c r="AD36" s="7"/>
      <c r="AE36" s="3"/>
      <c r="AF36" s="3"/>
      <c r="AG36" s="7"/>
    </row>
    <row r="37" spans="1:33" ht="18">
      <c r="A37" s="57" t="s">
        <v>53</v>
      </c>
      <c r="B37" s="43">
        <f aca="true" t="shared" si="11" ref="B37:H37">ROUND(B26/2/365*30,0)</f>
        <v>-2471845</v>
      </c>
      <c r="C37" s="43">
        <f>ROUND(C26/24,0)</f>
        <v>-2720676</v>
      </c>
      <c r="D37" s="43">
        <f>ROUND(D26/24,0)</f>
        <v>-2720676</v>
      </c>
      <c r="E37" s="43">
        <f>D37</f>
        <v>-2720676</v>
      </c>
      <c r="F37" s="43">
        <f aca="true" t="shared" si="12" ref="F37">ROUND(F26/2/365*30,0)</f>
        <v>-3160528</v>
      </c>
      <c r="G37" s="43">
        <f t="shared" si="11"/>
        <v>-3334883</v>
      </c>
      <c r="H37" s="43">
        <f t="shared" si="11"/>
        <v>-3434712</v>
      </c>
      <c r="I37" s="2"/>
      <c r="J37" s="44" t="e">
        <f>+#REF!-C37</f>
        <v>#REF!</v>
      </c>
      <c r="K37" s="30" t="e">
        <f>IF(#REF!&gt;=1,ROUND(B37/#REF!,9),0)</f>
        <v>#REF!</v>
      </c>
      <c r="L37" s="3"/>
      <c r="M37" s="44" t="e">
        <f>+#REF!-#REF!</f>
        <v>#REF!</v>
      </c>
      <c r="N37" s="45" t="e">
        <f>IF(#REF!&lt;=1,ROUND(#REF!/#REF!,9),0)</f>
        <v>#REF!</v>
      </c>
      <c r="O37" s="32"/>
      <c r="P37" s="32"/>
      <c r="Q37" s="5"/>
      <c r="R37" s="5"/>
      <c r="S37" s="5"/>
      <c r="T37" s="5"/>
      <c r="U37" s="3"/>
      <c r="V37" s="3"/>
      <c r="W37" s="3"/>
      <c r="X37" s="3"/>
      <c r="Y37" s="3"/>
      <c r="Z37" s="3"/>
      <c r="AA37" s="6"/>
      <c r="AB37" s="3"/>
      <c r="AC37" s="3"/>
      <c r="AD37" s="3"/>
      <c r="AE37" s="3"/>
      <c r="AF37" s="3"/>
      <c r="AG37" s="7"/>
    </row>
    <row r="38" spans="1:33" ht="15.75">
      <c r="A38" s="34" t="s">
        <v>54</v>
      </c>
      <c r="B38" s="97">
        <f>SUM(B34:B37)</f>
        <v>-2971400</v>
      </c>
      <c r="C38" s="97">
        <f aca="true" t="shared" si="13" ref="C38:J38">SUM(C34:C37)</f>
        <v>-2720676</v>
      </c>
      <c r="D38" s="97">
        <f t="shared" si="13"/>
        <v>-3220231</v>
      </c>
      <c r="E38" s="97">
        <f t="shared" si="13"/>
        <v>-3220231</v>
      </c>
      <c r="F38" s="97">
        <f t="shared" si="13"/>
        <v>-3160528</v>
      </c>
      <c r="G38" s="97">
        <f t="shared" si="13"/>
        <v>-3334883</v>
      </c>
      <c r="H38" s="97">
        <f t="shared" si="13"/>
        <v>-3434712</v>
      </c>
      <c r="I38" s="2"/>
      <c r="J38" s="97" t="e">
        <f t="shared" si="13"/>
        <v>#REF!</v>
      </c>
      <c r="K38" s="30" t="e">
        <f>IF(#REF!&gt;=1,ROUND(B38/#REF!,9),0)</f>
        <v>#REF!</v>
      </c>
      <c r="L38" s="3"/>
      <c r="M38" s="44" t="e">
        <f>+#REF!-#REF!</f>
        <v>#REF!</v>
      </c>
      <c r="N38" s="45" t="e">
        <f>IF(#REF!&lt;=1,ROUND(#REF!/#REF!,9),0)</f>
        <v>#REF!</v>
      </c>
      <c r="O38" s="32"/>
      <c r="P38" s="32"/>
      <c r="Q38" s="5"/>
      <c r="R38" s="5"/>
      <c r="S38" s="5"/>
      <c r="T38" s="5"/>
      <c r="U38" s="3"/>
      <c r="V38" s="3"/>
      <c r="W38" s="3"/>
      <c r="X38" s="3"/>
      <c r="Y38" s="3"/>
      <c r="Z38" s="3"/>
      <c r="AA38" s="6"/>
      <c r="AB38" s="3"/>
      <c r="AC38" s="3"/>
      <c r="AD38" s="3"/>
      <c r="AE38" s="3"/>
      <c r="AF38" s="3"/>
      <c r="AG38" s="7"/>
    </row>
    <row r="39" spans="1:33" ht="15.75">
      <c r="A39" s="41"/>
      <c r="B39" s="98"/>
      <c r="C39" s="98"/>
      <c r="D39" s="98"/>
      <c r="E39" s="98"/>
      <c r="F39" s="98"/>
      <c r="G39" s="98"/>
      <c r="H39" s="98"/>
      <c r="I39" s="2"/>
      <c r="J39" s="99"/>
      <c r="K39" s="30" t="e">
        <f>IF(#REF!&gt;=1,ROUND(B39/#REF!,9),0)</f>
        <v>#REF!</v>
      </c>
      <c r="L39" s="3"/>
      <c r="M39" s="44"/>
      <c r="N39" s="45" t="e">
        <f>IF(#REF!&gt;=1,ROUND(#REF!/#REF!,9),0)</f>
        <v>#REF!</v>
      </c>
      <c r="O39" s="32"/>
      <c r="P39" s="32"/>
      <c r="Q39" s="5"/>
      <c r="R39" s="5"/>
      <c r="S39" s="5"/>
      <c r="T39" s="5"/>
      <c r="U39" s="3"/>
      <c r="V39" s="3"/>
      <c r="W39" s="3"/>
      <c r="X39" s="3"/>
      <c r="Y39" s="3"/>
      <c r="Z39" s="3"/>
      <c r="AA39" s="6"/>
      <c r="AB39" s="3"/>
      <c r="AC39" s="3"/>
      <c r="AD39" s="3"/>
      <c r="AE39" s="3"/>
      <c r="AF39" s="3"/>
      <c r="AG39" s="7"/>
    </row>
    <row r="40" spans="1:33" ht="15.75">
      <c r="A40" s="41" t="s">
        <v>55</v>
      </c>
      <c r="B40" s="43">
        <f aca="true" t="shared" si="14" ref="B40:H40">ABS(IF(B32+B38&gt;0,0,B32+B38))</f>
        <v>0</v>
      </c>
      <c r="C40" s="43">
        <f t="shared" si="14"/>
        <v>0</v>
      </c>
      <c r="D40" s="43">
        <f t="shared" si="14"/>
        <v>0</v>
      </c>
      <c r="E40" s="43">
        <f t="shared" si="14"/>
        <v>0</v>
      </c>
      <c r="F40" s="43">
        <f t="shared" si="14"/>
        <v>0</v>
      </c>
      <c r="G40" s="100">
        <f t="shared" si="14"/>
        <v>0</v>
      </c>
      <c r="H40" s="43">
        <f t="shared" si="14"/>
        <v>0</v>
      </c>
      <c r="I40" s="2"/>
      <c r="J40" s="44" t="e">
        <f>+#REF!-C40</f>
        <v>#REF!</v>
      </c>
      <c r="K40" s="30" t="e">
        <f>IF(#REF!&gt;=1,ROUND(B40/#REF!,9),0)</f>
        <v>#REF!</v>
      </c>
      <c r="L40" s="3"/>
      <c r="M40" s="44" t="e">
        <f>C40-#REF!</f>
        <v>#REF!</v>
      </c>
      <c r="N40" s="45" t="e">
        <f>IF(#REF!&gt;=1,ROUND(#REF!/#REF!,9),0)</f>
        <v>#REF!</v>
      </c>
      <c r="O40" s="32"/>
      <c r="P40" s="32"/>
      <c r="Q40" s="5"/>
      <c r="R40" s="5"/>
      <c r="S40" s="5"/>
      <c r="T40" s="5"/>
      <c r="U40" s="3"/>
      <c r="V40" s="3"/>
      <c r="W40" s="3"/>
      <c r="X40" s="3"/>
      <c r="Y40" s="3"/>
      <c r="Z40" s="3"/>
      <c r="AA40" s="6"/>
      <c r="AB40" s="3"/>
      <c r="AC40" s="3"/>
      <c r="AD40" s="3"/>
      <c r="AE40" s="3"/>
      <c r="AF40" s="3"/>
      <c r="AG40" s="7"/>
    </row>
    <row r="41" spans="1:33" ht="15.75">
      <c r="A41" s="62"/>
      <c r="B41" s="101"/>
      <c r="C41" s="64"/>
      <c r="D41" s="64"/>
      <c r="E41" s="64"/>
      <c r="F41" s="64"/>
      <c r="G41" s="64"/>
      <c r="H41" s="64"/>
      <c r="I41" s="2"/>
      <c r="J41" s="102"/>
      <c r="K41" s="87"/>
      <c r="L41" s="3"/>
      <c r="M41" s="102"/>
      <c r="N41" s="89"/>
      <c r="O41" s="32"/>
      <c r="P41" s="32"/>
      <c r="Q41" s="5"/>
      <c r="R41" s="5"/>
      <c r="S41" s="5"/>
      <c r="T41" s="5"/>
      <c r="U41" s="3"/>
      <c r="V41" s="3"/>
      <c r="W41" s="3"/>
      <c r="X41" s="3"/>
      <c r="Y41" s="3"/>
      <c r="Z41" s="3"/>
      <c r="AA41" s="6"/>
      <c r="AB41" s="3"/>
      <c r="AC41" s="3"/>
      <c r="AD41" s="3"/>
      <c r="AE41" s="3"/>
      <c r="AF41" s="3"/>
      <c r="AG41" s="7"/>
    </row>
    <row r="42" spans="1:33" ht="15.75">
      <c r="A42" s="103" t="s">
        <v>56</v>
      </c>
      <c r="B42" s="104">
        <f aca="true" t="shared" si="15" ref="B42:H42">ROUND(B32+B38+B40,0)</f>
        <v>4576187</v>
      </c>
      <c r="C42" s="104">
        <f>ROUND(C32+C38+C40,0)</f>
        <v>1872599</v>
      </c>
      <c r="D42" s="104">
        <f>ROUND(D32+D38+D40,0)</f>
        <v>2869314</v>
      </c>
      <c r="E42" s="104">
        <f t="shared" si="15"/>
        <v>3874365</v>
      </c>
      <c r="F42" s="104">
        <f t="shared" si="15"/>
        <v>2574462</v>
      </c>
      <c r="G42" s="104">
        <f t="shared" si="15"/>
        <v>779528</v>
      </c>
      <c r="H42" s="104">
        <f t="shared" si="15"/>
        <v>475146</v>
      </c>
      <c r="I42" s="2"/>
      <c r="J42" s="82" t="e">
        <f>+B42-#REF!</f>
        <v>#REF!</v>
      </c>
      <c r="K42" s="83" t="e">
        <f>IF(#REF!&gt;=1,ROUND(B42/#REF!,9),0)</f>
        <v>#REF!</v>
      </c>
      <c r="L42" s="3"/>
      <c r="M42" s="105" t="e">
        <f>C42-#REF!</f>
        <v>#REF!</v>
      </c>
      <c r="N42" s="94" t="e">
        <f>IF(#REF!&gt;=1,ROUND(#REF!/#REF!,9),0)</f>
        <v>#REF!</v>
      </c>
      <c r="O42" s="68"/>
      <c r="P42" s="68"/>
      <c r="Q42" s="5"/>
      <c r="R42" s="5"/>
      <c r="S42" s="5"/>
      <c r="T42" s="5"/>
      <c r="U42" s="3"/>
      <c r="V42" s="3"/>
      <c r="W42" s="3"/>
      <c r="X42" s="3"/>
      <c r="Y42" s="3"/>
      <c r="Z42" s="3"/>
      <c r="AA42" s="6"/>
      <c r="AB42" s="3"/>
      <c r="AC42" s="3"/>
      <c r="AD42" s="3"/>
      <c r="AE42" s="3"/>
      <c r="AF42" s="3"/>
      <c r="AG42" s="7"/>
    </row>
    <row r="43" spans="1:33" s="109" customFormat="1" ht="15" hidden="1">
      <c r="A43" s="106" t="s">
        <v>57</v>
      </c>
      <c r="B43" s="107"/>
      <c r="C43" s="107">
        <v>3</v>
      </c>
      <c r="D43" s="107"/>
      <c r="E43" s="107"/>
      <c r="F43" s="107"/>
      <c r="G43" s="107"/>
      <c r="H43" s="107"/>
      <c r="I43" s="108"/>
      <c r="O43" s="110"/>
      <c r="P43" s="110"/>
      <c r="Q43" s="111"/>
      <c r="R43" s="111"/>
      <c r="S43" s="111"/>
      <c r="T43" s="111"/>
      <c r="AA43" s="112"/>
      <c r="AG43" s="113"/>
    </row>
    <row r="44" spans="1:33" s="109" customFormat="1" ht="15" hidden="1">
      <c r="A44" s="106" t="s">
        <v>58</v>
      </c>
      <c r="B44" s="107"/>
      <c r="C44" s="107">
        <v>15</v>
      </c>
      <c r="D44" s="107"/>
      <c r="E44" s="107"/>
      <c r="F44" s="107"/>
      <c r="G44" s="107"/>
      <c r="H44" s="107"/>
      <c r="I44" s="108"/>
      <c r="O44" s="110"/>
      <c r="P44" s="110"/>
      <c r="Q44" s="111"/>
      <c r="R44" s="111"/>
      <c r="S44" s="111"/>
      <c r="T44" s="111"/>
      <c r="AA44" s="112"/>
      <c r="AG44" s="113"/>
    </row>
    <row r="45" spans="1:33" s="109" customFormat="1" ht="15" hidden="1">
      <c r="A45" s="106" t="s">
        <v>59</v>
      </c>
      <c r="B45" s="107"/>
      <c r="C45" s="107"/>
      <c r="D45" s="107"/>
      <c r="E45" s="107"/>
      <c r="F45" s="107"/>
      <c r="G45" s="107"/>
      <c r="H45" s="107"/>
      <c r="I45" s="108"/>
      <c r="O45" s="110"/>
      <c r="P45" s="110"/>
      <c r="Q45" s="111"/>
      <c r="R45" s="111"/>
      <c r="S45" s="111"/>
      <c r="T45" s="111"/>
      <c r="AA45" s="112"/>
      <c r="AG45" s="113"/>
    </row>
    <row r="46" spans="1:33" s="109" customFormat="1" ht="15" hidden="1">
      <c r="A46" s="106" t="s">
        <v>60</v>
      </c>
      <c r="B46" s="107"/>
      <c r="C46" s="107">
        <v>1</v>
      </c>
      <c r="D46" s="107"/>
      <c r="E46" s="107"/>
      <c r="F46" s="107"/>
      <c r="G46" s="107"/>
      <c r="H46" s="107"/>
      <c r="I46" s="108"/>
      <c r="O46" s="110"/>
      <c r="P46" s="110"/>
      <c r="Q46" s="111"/>
      <c r="R46" s="111"/>
      <c r="S46" s="111"/>
      <c r="T46" s="111"/>
      <c r="AA46" s="112"/>
      <c r="AG46" s="113"/>
    </row>
    <row r="47" spans="1:33" s="109" customFormat="1" ht="15.75" hidden="1" thickBot="1">
      <c r="A47" s="114" t="s">
        <v>61</v>
      </c>
      <c r="B47" s="115"/>
      <c r="C47" s="115">
        <f>SUM(C43:C46)</f>
        <v>19</v>
      </c>
      <c r="D47" s="115"/>
      <c r="E47" s="115"/>
      <c r="F47" s="115"/>
      <c r="G47" s="115"/>
      <c r="H47" s="115"/>
      <c r="I47" s="108"/>
      <c r="O47" s="110"/>
      <c r="P47" s="110"/>
      <c r="Q47" s="111"/>
      <c r="R47" s="111"/>
      <c r="S47" s="111"/>
      <c r="T47" s="111"/>
      <c r="AA47" s="112"/>
      <c r="AG47" s="113"/>
    </row>
    <row r="48" spans="1:33" ht="15">
      <c r="A48" s="3"/>
      <c r="B48" s="6"/>
      <c r="C48" s="6"/>
      <c r="D48" s="6"/>
      <c r="E48" s="6"/>
      <c r="F48" s="6"/>
      <c r="G48" s="6"/>
      <c r="H48" s="6"/>
      <c r="I48" s="2"/>
      <c r="J48" s="3"/>
      <c r="K48" s="3"/>
      <c r="L48" s="3"/>
      <c r="M48" s="3"/>
      <c r="N48" s="3"/>
      <c r="O48" s="4"/>
      <c r="P48" s="4"/>
      <c r="Q48" s="5"/>
      <c r="R48" s="5"/>
      <c r="S48" s="5"/>
      <c r="T48" s="5"/>
      <c r="U48" s="3"/>
      <c r="V48" s="3"/>
      <c r="W48" s="3"/>
      <c r="X48" s="3"/>
      <c r="Y48" s="3"/>
      <c r="Z48" s="3"/>
      <c r="AA48" s="6"/>
      <c r="AB48" s="3"/>
      <c r="AC48" s="3"/>
      <c r="AD48" s="3"/>
      <c r="AE48" s="3"/>
      <c r="AF48" s="3"/>
      <c r="AG48" s="7"/>
    </row>
    <row r="49" spans="1:12" ht="15.75">
      <c r="A49" s="116" t="s">
        <v>62</v>
      </c>
      <c r="B49" s="116"/>
      <c r="C49" s="117"/>
      <c r="D49" s="117"/>
      <c r="E49" s="117"/>
      <c r="F49" s="117"/>
      <c r="G49" s="117"/>
      <c r="H49" s="117"/>
      <c r="I49" s="2"/>
      <c r="J49" s="3"/>
      <c r="K49" s="3"/>
      <c r="L49" s="3"/>
    </row>
    <row r="50" spans="1:12" ht="35.1" customHeight="1">
      <c r="A50" s="118" t="s">
        <v>63</v>
      </c>
      <c r="B50" s="118"/>
      <c r="C50" s="118"/>
      <c r="D50" s="118"/>
      <c r="E50" s="118"/>
      <c r="F50" s="118"/>
      <c r="G50" s="118"/>
      <c r="H50" s="118"/>
      <c r="I50" s="119"/>
      <c r="J50" s="120"/>
      <c r="K50" s="120"/>
      <c r="L50" s="120"/>
    </row>
    <row r="51" spans="1:12" ht="15.75" customHeight="1">
      <c r="A51" s="121" t="s">
        <v>64</v>
      </c>
      <c r="B51" s="121"/>
      <c r="C51" s="121"/>
      <c r="D51" s="121"/>
      <c r="E51" s="121"/>
      <c r="F51" s="121"/>
      <c r="G51" s="121"/>
      <c r="H51" s="121"/>
      <c r="I51" s="119"/>
      <c r="J51" s="120"/>
      <c r="K51" s="120"/>
      <c r="L51" s="120"/>
    </row>
    <row r="52" spans="1:12" ht="35.1" customHeight="1">
      <c r="A52" s="118" t="s">
        <v>65</v>
      </c>
      <c r="B52" s="118"/>
      <c r="C52" s="118"/>
      <c r="D52" s="118"/>
      <c r="E52" s="118"/>
      <c r="F52" s="118"/>
      <c r="G52" s="118"/>
      <c r="H52" s="118"/>
      <c r="I52" s="119"/>
      <c r="J52" s="120"/>
      <c r="K52" s="120"/>
      <c r="L52" s="120"/>
    </row>
    <row r="53" spans="1:12" ht="39" customHeight="1">
      <c r="A53" s="118" t="s">
        <v>66</v>
      </c>
      <c r="B53" s="118"/>
      <c r="C53" s="118"/>
      <c r="D53" s="118"/>
      <c r="E53" s="118"/>
      <c r="F53" s="118"/>
      <c r="G53" s="118"/>
      <c r="H53" s="118"/>
      <c r="I53" s="119"/>
      <c r="J53" s="120"/>
      <c r="K53" s="120"/>
      <c r="L53" s="120"/>
    </row>
    <row r="54" spans="1:12" ht="95.1" customHeight="1">
      <c r="A54" s="122" t="s">
        <v>67</v>
      </c>
      <c r="B54" s="122"/>
      <c r="C54" s="122"/>
      <c r="D54" s="122"/>
      <c r="E54" s="122"/>
      <c r="F54" s="122"/>
      <c r="G54" s="122"/>
      <c r="H54" s="122"/>
      <c r="I54" s="119"/>
      <c r="J54" s="123"/>
      <c r="K54" s="123"/>
      <c r="L54" s="123"/>
    </row>
    <row r="55" spans="1:12" ht="33" customHeight="1">
      <c r="A55" s="118" t="s">
        <v>68</v>
      </c>
      <c r="B55" s="118"/>
      <c r="C55" s="118"/>
      <c r="D55" s="118"/>
      <c r="E55" s="118"/>
      <c r="F55" s="118"/>
      <c r="G55" s="118"/>
      <c r="H55" s="118"/>
      <c r="I55" s="119"/>
      <c r="J55" s="120"/>
      <c r="K55" s="120"/>
      <c r="L55" s="120"/>
    </row>
    <row r="56" spans="1:12" ht="15.75" customHeight="1">
      <c r="A56" s="118" t="s">
        <v>69</v>
      </c>
      <c r="B56" s="118"/>
      <c r="C56" s="118"/>
      <c r="D56" s="118"/>
      <c r="E56" s="118"/>
      <c r="F56" s="118"/>
      <c r="G56" s="118"/>
      <c r="H56" s="118"/>
      <c r="I56" s="119"/>
      <c r="J56" s="120"/>
      <c r="K56" s="120"/>
      <c r="L56" s="120"/>
    </row>
    <row r="57" spans="1:12" ht="15.75" customHeight="1">
      <c r="A57" s="124"/>
      <c r="B57" s="124"/>
      <c r="C57" s="124"/>
      <c r="D57" s="124"/>
      <c r="E57" s="124"/>
      <c r="F57" s="124"/>
      <c r="G57" s="124"/>
      <c r="H57" s="124"/>
      <c r="I57" s="119"/>
      <c r="J57" s="120"/>
      <c r="K57" s="120"/>
      <c r="L57" s="120"/>
    </row>
    <row r="58" spans="1:12" ht="15">
      <c r="A58" s="125" t="s">
        <v>70</v>
      </c>
      <c r="B58" s="120"/>
      <c r="C58" s="120"/>
      <c r="D58" s="120"/>
      <c r="E58" s="120"/>
      <c r="F58" s="120"/>
      <c r="G58" s="120"/>
      <c r="H58" s="120"/>
      <c r="I58" s="119"/>
      <c r="J58" s="120"/>
      <c r="K58" s="120"/>
      <c r="L58" s="120"/>
    </row>
    <row r="59" spans="1:12" ht="15" hidden="1">
      <c r="A59" s="126" t="s">
        <v>71</v>
      </c>
      <c r="B59" s="120"/>
      <c r="C59" s="120"/>
      <c r="D59" s="120"/>
      <c r="E59" s="120"/>
      <c r="F59" s="120"/>
      <c r="G59" s="120"/>
      <c r="H59" s="120"/>
      <c r="I59" s="119"/>
      <c r="J59" s="120"/>
      <c r="K59" s="120"/>
      <c r="L59" s="120"/>
    </row>
    <row r="60" spans="1:12" ht="15" hidden="1">
      <c r="A60" s="126" t="s">
        <v>72</v>
      </c>
      <c r="B60" s="120"/>
      <c r="C60" s="120"/>
      <c r="D60" s="120"/>
      <c r="E60" s="120"/>
      <c r="F60" s="120"/>
      <c r="G60" s="120"/>
      <c r="H60" s="120"/>
      <c r="I60" s="119"/>
      <c r="J60" s="120"/>
      <c r="K60" s="120"/>
      <c r="L60" s="120"/>
    </row>
    <row r="61" spans="1:12" ht="15" hidden="1">
      <c r="A61" s="127" t="s">
        <v>37</v>
      </c>
      <c r="B61" s="128">
        <f>+B17</f>
        <v>60443541.52000001</v>
      </c>
      <c r="C61" s="128">
        <f>+C17</f>
        <v>63838189</v>
      </c>
      <c r="D61" s="128"/>
      <c r="E61" s="128"/>
      <c r="F61" s="128"/>
      <c r="G61" s="128">
        <f>+G17</f>
        <v>79528248</v>
      </c>
      <c r="H61" s="128">
        <f>+H17</f>
        <v>83373435</v>
      </c>
      <c r="I61" s="119"/>
      <c r="J61" s="120"/>
      <c r="K61" s="120"/>
      <c r="L61" s="120"/>
    </row>
    <row r="62" spans="1:12" ht="15" hidden="1">
      <c r="A62" s="127" t="s">
        <v>44</v>
      </c>
      <c r="B62" s="128">
        <f>+B26</f>
        <v>-60148238.03</v>
      </c>
      <c r="C62" s="128">
        <f>+C26</f>
        <v>-65296231</v>
      </c>
      <c r="D62" s="128"/>
      <c r="E62" s="128"/>
      <c r="F62" s="128"/>
      <c r="G62" s="128">
        <f>+G26</f>
        <v>-81148827.62376054</v>
      </c>
      <c r="H62" s="128">
        <f>+H26</f>
        <v>-83577987.43064217</v>
      </c>
      <c r="I62" s="119"/>
      <c r="J62" s="120"/>
      <c r="K62" s="120"/>
      <c r="L62" s="120"/>
    </row>
    <row r="63" spans="1:12" ht="15.75" hidden="1" thickBot="1">
      <c r="A63" s="129" t="s">
        <v>73</v>
      </c>
      <c r="B63" s="130">
        <f aca="true" t="shared" si="16" ref="B63:H63">SUM(B61:B62)</f>
        <v>295303.49000000954</v>
      </c>
      <c r="C63" s="130">
        <f t="shared" si="16"/>
        <v>-1458042</v>
      </c>
      <c r="D63" s="130"/>
      <c r="E63" s="130"/>
      <c r="F63" s="130"/>
      <c r="G63" s="130">
        <f t="shared" si="16"/>
        <v>-1620579.6237605363</v>
      </c>
      <c r="H63" s="130">
        <f t="shared" si="16"/>
        <v>-204552.4306421727</v>
      </c>
      <c r="I63" s="119"/>
      <c r="J63" s="120"/>
      <c r="K63" s="120"/>
      <c r="L63" s="120"/>
    </row>
    <row r="64" spans="1:12" ht="15" hidden="1">
      <c r="A64" s="126" t="s">
        <v>74</v>
      </c>
      <c r="B64" s="120"/>
      <c r="C64" s="120"/>
      <c r="D64" s="120"/>
      <c r="E64" s="120"/>
      <c r="F64" s="120"/>
      <c r="G64" s="120"/>
      <c r="H64" s="120"/>
      <c r="I64" s="119"/>
      <c r="J64" s="120"/>
      <c r="K64" s="120"/>
      <c r="L64" s="120"/>
    </row>
    <row r="65" spans="1:33" ht="15" hidden="1">
      <c r="A65" s="127" t="s">
        <v>75</v>
      </c>
      <c r="B65" s="128">
        <f aca="true" t="shared" si="17" ref="B65:H65">+B67-B66</f>
        <v>-6545584.019999996</v>
      </c>
      <c r="C65" s="128">
        <f t="shared" si="17"/>
        <v>-7669025</v>
      </c>
      <c r="D65" s="128"/>
      <c r="E65" s="128"/>
      <c r="F65" s="128"/>
      <c r="G65" s="128">
        <f t="shared" si="17"/>
        <v>-10100771.243760526</v>
      </c>
      <c r="H65" s="128">
        <f t="shared" si="17"/>
        <v>-10780896.050642163</v>
      </c>
      <c r="I65" s="119"/>
      <c r="J65" s="120"/>
      <c r="K65" s="120"/>
      <c r="L65" s="120"/>
      <c r="M65" s="120"/>
      <c r="N65" s="120"/>
      <c r="O65" s="131"/>
      <c r="P65" s="131"/>
      <c r="Q65" s="132"/>
      <c r="R65" s="132"/>
      <c r="S65" s="132"/>
      <c r="T65" s="132"/>
      <c r="U65" s="120"/>
      <c r="V65" s="120"/>
      <c r="W65" s="120"/>
      <c r="X65" s="120"/>
      <c r="Y65" s="120"/>
      <c r="Z65" s="120"/>
      <c r="AA65" s="133"/>
      <c r="AB65" s="120"/>
      <c r="AC65" s="120"/>
      <c r="AD65" s="120"/>
      <c r="AE65" s="120"/>
      <c r="AF65" s="120"/>
      <c r="AG65" s="134"/>
    </row>
    <row r="66" spans="1:33" s="119" customFormat="1" ht="15" hidden="1">
      <c r="A66" s="127" t="s">
        <v>76</v>
      </c>
      <c r="B66" s="128">
        <f>+B21</f>
        <v>-53602654.010000005</v>
      </c>
      <c r="C66" s="128">
        <f>+C21</f>
        <v>-57627206</v>
      </c>
      <c r="D66" s="128"/>
      <c r="E66" s="128"/>
      <c r="F66" s="128"/>
      <c r="G66" s="128">
        <f>+G21</f>
        <v>-71048056.38000001</v>
      </c>
      <c r="H66" s="128">
        <f>+H21</f>
        <v>-72797091.38000001</v>
      </c>
      <c r="J66" s="120"/>
      <c r="K66" s="120"/>
      <c r="L66" s="120"/>
      <c r="M66" s="120"/>
      <c r="N66" s="120"/>
      <c r="O66" s="131"/>
      <c r="P66" s="131"/>
      <c r="Q66" s="132"/>
      <c r="R66" s="132"/>
      <c r="S66" s="132"/>
      <c r="T66" s="132"/>
      <c r="U66" s="120"/>
      <c r="V66" s="120"/>
      <c r="W66" s="120"/>
      <c r="X66" s="120"/>
      <c r="Y66" s="120"/>
      <c r="Z66" s="120"/>
      <c r="AA66" s="133"/>
      <c r="AB66" s="120"/>
      <c r="AC66" s="120"/>
      <c r="AD66" s="120"/>
      <c r="AE66" s="120"/>
      <c r="AF66" s="120"/>
      <c r="AG66" s="134"/>
    </row>
    <row r="67" spans="1:33" s="119" customFormat="1" ht="15.75" hidden="1" thickBot="1">
      <c r="A67" s="129" t="s">
        <v>77</v>
      </c>
      <c r="B67" s="130">
        <f>+B26</f>
        <v>-60148238.03</v>
      </c>
      <c r="C67" s="130">
        <f>+C26</f>
        <v>-65296231</v>
      </c>
      <c r="D67" s="130"/>
      <c r="E67" s="130"/>
      <c r="F67" s="130"/>
      <c r="G67" s="130">
        <f>+G26</f>
        <v>-81148827.62376054</v>
      </c>
      <c r="H67" s="130">
        <f>+H26</f>
        <v>-83577987.43064217</v>
      </c>
      <c r="J67" s="120"/>
      <c r="K67" s="120"/>
      <c r="L67" s="120"/>
      <c r="M67" s="120"/>
      <c r="N67" s="120"/>
      <c r="O67" s="131"/>
      <c r="P67" s="131"/>
      <c r="Q67" s="132"/>
      <c r="R67" s="132"/>
      <c r="S67" s="132"/>
      <c r="T67" s="132"/>
      <c r="U67" s="120"/>
      <c r="V67" s="120"/>
      <c r="W67" s="120"/>
      <c r="X67" s="120"/>
      <c r="Y67" s="120"/>
      <c r="Z67" s="120"/>
      <c r="AA67" s="133"/>
      <c r="AB67" s="120"/>
      <c r="AC67" s="120"/>
      <c r="AD67" s="120"/>
      <c r="AE67" s="120"/>
      <c r="AF67" s="120"/>
      <c r="AG67" s="134"/>
    </row>
    <row r="68" spans="2:33" s="119" customFormat="1" ht="15" hidden="1">
      <c r="B68" s="120"/>
      <c r="C68" s="120"/>
      <c r="D68" s="120"/>
      <c r="E68" s="120"/>
      <c r="F68" s="120"/>
      <c r="G68" s="120"/>
      <c r="H68" s="120"/>
      <c r="J68" s="120"/>
      <c r="K68" s="120"/>
      <c r="L68" s="120"/>
      <c r="M68" s="120"/>
      <c r="N68" s="120"/>
      <c r="O68" s="131"/>
      <c r="P68" s="131"/>
      <c r="Q68" s="132"/>
      <c r="R68" s="132"/>
      <c r="S68" s="132"/>
      <c r="T68" s="132"/>
      <c r="U68" s="120"/>
      <c r="V68" s="120"/>
      <c r="W68" s="120"/>
      <c r="X68" s="120"/>
      <c r="Y68" s="120"/>
      <c r="Z68" s="120"/>
      <c r="AA68" s="133"/>
      <c r="AB68" s="120"/>
      <c r="AC68" s="120"/>
      <c r="AD68" s="120"/>
      <c r="AE68" s="120"/>
      <c r="AF68" s="120"/>
      <c r="AG68" s="134"/>
    </row>
    <row r="69" spans="1:33" s="119" customFormat="1" ht="15.75" hidden="1" thickBot="1">
      <c r="A69" s="129" t="s">
        <v>78</v>
      </c>
      <c r="B69" s="135">
        <f aca="true" t="shared" si="18" ref="B69:H69">ROUND(B65/B67,9)</f>
        <v>0.108824202</v>
      </c>
      <c r="C69" s="135">
        <f t="shared" si="18"/>
        <v>0.117449735</v>
      </c>
      <c r="D69" s="135"/>
      <c r="E69" s="135"/>
      <c r="F69" s="135"/>
      <c r="G69" s="135">
        <f t="shared" si="18"/>
        <v>0.124472177</v>
      </c>
      <c r="H69" s="135">
        <f t="shared" si="18"/>
        <v>0.128992051</v>
      </c>
      <c r="J69" s="120"/>
      <c r="K69" s="120"/>
      <c r="L69" s="120"/>
      <c r="M69" s="120"/>
      <c r="N69" s="120"/>
      <c r="O69" s="131"/>
      <c r="P69" s="131"/>
      <c r="Q69" s="132"/>
      <c r="R69" s="132"/>
      <c r="S69" s="132"/>
      <c r="T69" s="132"/>
      <c r="U69" s="120"/>
      <c r="V69" s="120"/>
      <c r="W69" s="120"/>
      <c r="X69" s="120"/>
      <c r="Y69" s="120"/>
      <c r="Z69" s="120"/>
      <c r="AA69" s="133"/>
      <c r="AB69" s="120"/>
      <c r="AC69" s="120"/>
      <c r="AD69" s="120"/>
      <c r="AE69" s="120"/>
      <c r="AF69" s="120"/>
      <c r="AG69" s="134"/>
    </row>
    <row r="70" spans="1:33" s="119" customFormat="1" ht="15" hidden="1">
      <c r="A70" s="120"/>
      <c r="B70" s="120"/>
      <c r="C70" s="120"/>
      <c r="D70" s="120"/>
      <c r="E70" s="120"/>
      <c r="F70" s="120"/>
      <c r="G70" s="120"/>
      <c r="H70" s="120"/>
      <c r="J70" s="120"/>
      <c r="K70" s="120"/>
      <c r="L70" s="120"/>
      <c r="M70" s="120"/>
      <c r="N70" s="120"/>
      <c r="O70" s="131"/>
      <c r="P70" s="131"/>
      <c r="Q70" s="132"/>
      <c r="R70" s="132"/>
      <c r="S70" s="132"/>
      <c r="T70" s="132"/>
      <c r="U70" s="120"/>
      <c r="V70" s="120"/>
      <c r="W70" s="120"/>
      <c r="X70" s="120"/>
      <c r="Y70" s="120"/>
      <c r="Z70" s="120"/>
      <c r="AA70" s="133"/>
      <c r="AB70" s="120"/>
      <c r="AC70" s="120"/>
      <c r="AD70" s="120"/>
      <c r="AE70" s="120"/>
      <c r="AF70" s="120"/>
      <c r="AG70" s="134"/>
    </row>
    <row r="71" spans="1:33" s="119" customFormat="1" ht="15">
      <c r="A71" s="120"/>
      <c r="B71" s="120"/>
      <c r="C71" s="120"/>
      <c r="D71" s="120"/>
      <c r="E71" s="120"/>
      <c r="F71" s="120"/>
      <c r="G71" s="120"/>
      <c r="H71" s="120"/>
      <c r="J71" s="120"/>
      <c r="K71" s="120"/>
      <c r="L71" s="120"/>
      <c r="M71" s="120"/>
      <c r="N71" s="120"/>
      <c r="O71" s="131"/>
      <c r="P71" s="131"/>
      <c r="Q71" s="132"/>
      <c r="R71" s="132"/>
      <c r="S71" s="132"/>
      <c r="T71" s="132"/>
      <c r="U71" s="120"/>
      <c r="V71" s="120"/>
      <c r="W71" s="120"/>
      <c r="X71" s="120"/>
      <c r="Y71" s="120"/>
      <c r="Z71" s="120"/>
      <c r="AA71" s="133"/>
      <c r="AB71" s="120"/>
      <c r="AC71" s="120"/>
      <c r="AD71" s="120"/>
      <c r="AE71" s="120"/>
      <c r="AF71" s="120"/>
      <c r="AG71" s="134"/>
    </row>
    <row r="72" spans="1:33" ht="15">
      <c r="A72" s="120"/>
      <c r="B72" s="120"/>
      <c r="C72" s="120"/>
      <c r="D72" s="120"/>
      <c r="E72" s="120"/>
      <c r="F72" s="120"/>
      <c r="G72" s="120"/>
      <c r="H72" s="120"/>
      <c r="I72" s="119"/>
      <c r="J72" s="120"/>
      <c r="K72" s="120"/>
      <c r="L72" s="120"/>
      <c r="M72" s="120"/>
      <c r="N72" s="120"/>
      <c r="O72" s="131"/>
      <c r="P72" s="131"/>
      <c r="Q72" s="132"/>
      <c r="R72" s="132"/>
      <c r="S72" s="132"/>
      <c r="T72" s="132"/>
      <c r="U72" s="120"/>
      <c r="V72" s="120"/>
      <c r="W72" s="120"/>
      <c r="X72" s="120"/>
      <c r="Y72" s="120"/>
      <c r="Z72" s="120"/>
      <c r="AA72" s="133"/>
      <c r="AB72" s="120"/>
      <c r="AC72" s="120"/>
      <c r="AD72" s="120"/>
      <c r="AE72" s="120"/>
      <c r="AF72" s="120"/>
      <c r="AG72" s="134"/>
    </row>
  </sheetData>
  <mergeCells count="11">
    <mergeCell ref="A52:H52"/>
    <mergeCell ref="A53:H53"/>
    <mergeCell ref="A54:H54"/>
    <mergeCell ref="A55:H55"/>
    <mergeCell ref="A56:H56"/>
    <mergeCell ref="A1:H1"/>
    <mergeCell ref="A2:H2"/>
    <mergeCell ref="J2:N2"/>
    <mergeCell ref="J5:N5"/>
    <mergeCell ref="A50:H50"/>
    <mergeCell ref="A51:H51"/>
  </mergeCells>
  <printOptions horizontalCentered="1"/>
  <pageMargins left="0" right="0" top="0.5" bottom="0.5" header="0.25" footer="0.25"/>
  <pageSetup fitToHeight="1" fitToWidth="1" horizontalDpi="600" verticalDpi="600" orientation="portrait" scale="72" r:id="rId1"/>
  <headerFooter>
    <oddFooter>&amp;L&amp;"Calibri,Regular"&amp;9&amp;Z&amp;F\&amp;A
Printed on &amp;D at &amp;T&amp;R&amp;"Calibri,Regular"&amp;9Page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Slakie, Elly</dc:creator>
  <cp:keywords/>
  <dc:description/>
  <cp:lastModifiedBy>Slakie, Elly</cp:lastModifiedBy>
  <dcterms:created xsi:type="dcterms:W3CDTF">2017-03-08T01:02:53Z</dcterms:created>
  <dcterms:modified xsi:type="dcterms:W3CDTF">2017-03-08T01:29:27Z</dcterms:modified>
  <cp:category/>
  <cp:version/>
  <cp:contentType/>
  <cp:contentStatus/>
</cp:coreProperties>
</file>